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270" tabRatio="754" activeTab="6"/>
  </bookViews>
  <sheets>
    <sheet name="修订历史" sheetId="30" r:id="rId1"/>
    <sheet name="应答统计" sheetId="46" r:id="rId2"/>
    <sheet name="Index" sheetId="1" r:id="rId3"/>
    <sheet name="AA" sheetId="43" r:id="rId4"/>
    <sheet name="AB" sheetId="37" r:id="rId5"/>
    <sheet name="AC" sheetId="42" r:id="rId6"/>
    <sheet name="AD" sheetId="47" r:id="rId7"/>
    <sheet name="附录1" sheetId="44" r:id="rId8"/>
    <sheet name="附录2" sheetId="45" r:id="rId9"/>
  </sheets>
  <calcPr calcId="144525"/>
</workbook>
</file>

<file path=xl/sharedStrings.xml><?xml version="1.0" encoding="utf-8"?>
<sst xmlns="http://schemas.openxmlformats.org/spreadsheetml/2006/main" count="419" uniqueCount="283">
  <si>
    <t>版本</t>
  </si>
  <si>
    <t>日期</t>
  </si>
  <si>
    <t>修订内容</t>
  </si>
  <si>
    <t>修订人</t>
  </si>
  <si>
    <t>V0.1.0</t>
  </si>
  <si>
    <t>创建第一稿</t>
  </si>
  <si>
    <t>李健、胡亚希、李端</t>
  </si>
  <si>
    <t>V0.2.0</t>
  </si>
  <si>
    <t>增加附录：PCF的包含和继承关系图</t>
  </si>
  <si>
    <t>胡亚希</t>
  </si>
  <si>
    <t>V0.4.0</t>
  </si>
  <si>
    <t>AB页，修改Fqdn、SbiServiceList的定义；版本统一至0.4.0</t>
  </si>
  <si>
    <t>李健、胡亚希</t>
  </si>
  <si>
    <t>V1.0.0</t>
  </si>
  <si>
    <t>1. Index页增加“包含关系上级类”一列。</t>
  </si>
  <si>
    <t>V1.1.0</t>
  </si>
  <si>
    <t>1. Index页Subnetwork修改为SubNetwork，以与3GPP保持一致。
2. 附录1中的UML，原图使用Rational Rose制作，改为使用开源软件UMLet制作。</t>
  </si>
  <si>
    <t>李健</t>
  </si>
  <si>
    <t>V1.1.1</t>
  </si>
  <si>
    <t>1.AC页，“UserLabel”和“MaxSubNbr”增加针对语音PCF场景下的指标取值说明</t>
  </si>
  <si>
    <t>刘振旺</t>
  </si>
  <si>
    <t>V1.1.2</t>
  </si>
  <si>
    <t>无内容变更，版本号随PM同步</t>
  </si>
  <si>
    <t>V1.1.3</t>
  </si>
  <si>
    <t>洪晓、梁旭驰、张渊</t>
  </si>
  <si>
    <t>V1.1.4</t>
  </si>
  <si>
    <t>1.新增AD页，列举Pcf网元所涉及到的业务接口和管理接口，以及这些接口所配置的IPV4/V6地址
2.index新增一行IPResource，对应Pcf的管理接口和业务接口的信息"</t>
  </si>
  <si>
    <t>张渊、洪晓、梁旭驰</t>
  </si>
  <si>
    <r>
      <rPr>
        <b/>
        <sz val="11"/>
        <rFont val="Calibri"/>
        <charset val="134"/>
      </rPr>
      <t>PCF-NRM(V1.1.4)</t>
    </r>
    <r>
      <rPr>
        <b/>
        <sz val="11"/>
        <rFont val="宋体"/>
        <charset val="134"/>
      </rPr>
      <t>应答情况汇总表</t>
    </r>
  </si>
  <si>
    <t>设备厂家名称</t>
  </si>
  <si>
    <t>XX公司</t>
  </si>
  <si>
    <t>应答日期(T)</t>
  </si>
  <si>
    <t>XXXX年XX月XX日</t>
  </si>
  <si>
    <t>本应答文档适用的设备版本（及补丁）</t>
  </si>
  <si>
    <t>VersionXX(patchXX)</t>
  </si>
  <si>
    <t>对OMC的版本（及补丁）要求</t>
  </si>
  <si>
    <t>OMC版本需升级到VXXXX (或/并 加载补丁YYYY）</t>
  </si>
  <si>
    <t>内容</t>
  </si>
  <si>
    <t>规范定义数量</t>
  </si>
  <si>
    <t>不适用数量</t>
  </si>
  <si>
    <t>当前支持数量</t>
  </si>
  <si>
    <t>当前+1Q支持数量</t>
  </si>
  <si>
    <t>当前+2Q支持数量</t>
  </si>
  <si>
    <t>当前+3Q支持数量</t>
  </si>
  <si>
    <t>当前+4Q支持数量</t>
  </si>
  <si>
    <t>当前支持率</t>
  </si>
  <si>
    <t>综合支持率</t>
  </si>
  <si>
    <t>最终支持率</t>
  </si>
  <si>
    <t>网络资源模型IOC属性</t>
  </si>
  <si>
    <t>A类</t>
  </si>
  <si>
    <t>NA</t>
  </si>
  <si>
    <t>B类</t>
  </si>
  <si>
    <t>C类</t>
  </si>
  <si>
    <t>CA类</t>
  </si>
  <si>
    <t>CB类</t>
  </si>
  <si>
    <t>CC类</t>
  </si>
  <si>
    <t>应答说明：</t>
  </si>
  <si>
    <t>一、本页须填写蓝色字体部分，即公司名、应答日期、本应答适用的版本（及补丁）名、对OMC的版本（及补丁）要求。AA开始的各页仅须应答“支持时间”一列。其中，
  “T”：指当前(T)已经支持，所谓当前即应答日期。
  “T+1Q”：指当前(T)不支持，但（当前时间+91天）之前可以支持。
  “T+2Q”：指当前(T)不支持，但（当前时间+182天）之前可以支持
  “T+3Q”：指当前(T)不支持，但（当前时间+273天）之前可以支持
  “T+4Q”：指当前(T)不支持，但（当前时间+364天）之前可以支持
  “NS”: 若计划支持时间晚于T+4Q，或没有支持计划，必须应答“NS”
  “NA”：对应于CA、CB、CC类条件属性,条件成立时答上述支持时间，条件不成立时答“NA”，指示不适用。</t>
  </si>
  <si>
    <t>二、“Index”页以及“应答统计”页的统计结果均为公式自动生成，请勿直接改动。</t>
  </si>
  <si>
    <t>三、NRM中的对象属性是否支持的应答，以北向接口的NRM文件为准。当且仅当同时满足以下3项要求时才可以应答为具体的支持时间(T/T+xQ):
  1、NRM文件遵循《移动通信网网络管理技术规范 OMC北向接口 统一网络资源模型文件格式》的要求；
  2、对象的属性名、数据类型与相应网元的北向接口信息模型规范的约定完全一致；
  3、可以从NRM文件中取到属性值。</t>
  </si>
  <si>
    <t>四、注意将文件名中的“Company”、“Version”改为你公司名称以及应答适用的网元版本。</t>
  </si>
  <si>
    <t>五、若应答文档需要打印，请打印“Index”和“应答统计”页，并打印当前不支持的统计项的相关页，请勿打印全部规范，请勿打印“修订历史”和“附录”页。</t>
  </si>
  <si>
    <t>本应答模板的更新日期：2022-03-22</t>
  </si>
  <si>
    <t>索引</t>
  </si>
  <si>
    <t>管理对象类</t>
  </si>
  <si>
    <t xml:space="preserve"> 备注</t>
  </si>
  <si>
    <t>包含关系上级类</t>
  </si>
  <si>
    <t>A类属性数</t>
  </si>
  <si>
    <t>B类属性数</t>
  </si>
  <si>
    <t>C类属性数</t>
  </si>
  <si>
    <t>CA类属性数</t>
  </si>
  <si>
    <t>CB类属性数</t>
  </si>
  <si>
    <t>CC类属性数</t>
  </si>
  <si>
    <t>小计</t>
  </si>
  <si>
    <t>CA类不适用数</t>
  </si>
  <si>
    <t>CB类不适用数</t>
  </si>
  <si>
    <t>CC类不适用数</t>
  </si>
  <si>
    <t>当前A类支持数</t>
  </si>
  <si>
    <t>当前B类支持数</t>
  </si>
  <si>
    <t>当前C类支持数</t>
  </si>
  <si>
    <t>当前CA类支持数</t>
  </si>
  <si>
    <t>当前CB类支持数</t>
  </si>
  <si>
    <t>当前CC类支持数</t>
  </si>
  <si>
    <t>(当前+1Q)A类支持数</t>
  </si>
  <si>
    <t>(当前+1Q)B类支持数</t>
  </si>
  <si>
    <t>(当前+1Q)C类支持数</t>
  </si>
  <si>
    <t>(当前+1Q)CA类支持数</t>
  </si>
  <si>
    <t>(当前+1Q)CB类支持数</t>
  </si>
  <si>
    <t>(当前+1Q)CC类支持数</t>
  </si>
  <si>
    <t>(当前+2Q)A类支持数</t>
  </si>
  <si>
    <t>(当前+2Q)B类支持数</t>
  </si>
  <si>
    <t>(当前+2Q)C类支持数</t>
  </si>
  <si>
    <t>(当前+2Q)CA类支持数</t>
  </si>
  <si>
    <t>(当前+2Q)CB类支持数</t>
  </si>
  <si>
    <t>(当前+2Q)CC类支持数</t>
  </si>
  <si>
    <t>(当前+3Q)A类支持数</t>
  </si>
  <si>
    <t>(当前+3Q)B类支持数</t>
  </si>
  <si>
    <t>(当前+3Q)C类支持数</t>
  </si>
  <si>
    <t>(当前+3Q)CA类支持数</t>
  </si>
  <si>
    <t>(当前+3Q)CB类支持数</t>
  </si>
  <si>
    <t>(当前+3Q)CC类支持数</t>
  </si>
  <si>
    <t>(当前+4Q)A类支持数</t>
  </si>
  <si>
    <t>(当前+4Q)B类支持数</t>
  </si>
  <si>
    <t>(当前+4Q)C类支持数</t>
  </si>
  <si>
    <t>(当前+4Q)CA类支持数</t>
  </si>
  <si>
    <t>(当前+4Q)CB类支持数</t>
  </si>
  <si>
    <t>(当前+4Q)CC类支持数</t>
  </si>
  <si>
    <t>AA</t>
  </si>
  <si>
    <t>ManagedElement</t>
  </si>
  <si>
    <t>网元</t>
  </si>
  <si>
    <t>SubNetwork</t>
  </si>
  <si>
    <t>AB</t>
  </si>
  <si>
    <t>PcfFunction</t>
  </si>
  <si>
    <t>策略控制功能</t>
  </si>
  <si>
    <t>AC</t>
  </si>
  <si>
    <t>UdrFunction</t>
  </si>
  <si>
    <t>用户签约数据库对象</t>
  </si>
  <si>
    <t>AD</t>
  </si>
  <si>
    <t>IPResource</t>
  </si>
  <si>
    <t>分接口类型的IP地址</t>
  </si>
  <si>
    <t>合计</t>
  </si>
  <si>
    <t>属性编码</t>
  </si>
  <si>
    <t>重要度</t>
  </si>
  <si>
    <t>英文名称</t>
  </si>
  <si>
    <t>中文名称</t>
  </si>
  <si>
    <t>定义</t>
  </si>
  <si>
    <t>数据类型</t>
  </si>
  <si>
    <t>单位</t>
  </si>
  <si>
    <t>备注</t>
  </si>
  <si>
    <t>支持时间</t>
  </si>
  <si>
    <t>PCFAA01</t>
  </si>
  <si>
    <t>B</t>
  </si>
  <si>
    <t>Id</t>
  </si>
  <si>
    <t>标识符</t>
  </si>
  <si>
    <t>网元标识，只在OMC范围内有效</t>
  </si>
  <si>
    <t>字符串</t>
  </si>
  <si>
    <t>继承自TOP</t>
  </si>
  <si>
    <t>PCFAA02</t>
  </si>
  <si>
    <t>UserLabel</t>
  </si>
  <si>
    <t>用户友好名</t>
  </si>
  <si>
    <t>网元名称，根据运营商的网元命名规则设定。</t>
  </si>
  <si>
    <t>PCFAA03</t>
  </si>
  <si>
    <t>VendorName</t>
  </si>
  <si>
    <t>厂商名称</t>
  </si>
  <si>
    <t>PCFAA04</t>
  </si>
  <si>
    <t>ManagedBy</t>
  </si>
  <si>
    <t>管理节点</t>
  </si>
  <si>
    <t>管理ManagedElement的ManagementNode对象类的DN值</t>
  </si>
  <si>
    <t>PCFAA05</t>
  </si>
  <si>
    <t>ManagementIpAddress</t>
  </si>
  <si>
    <t>网管接口IP地址列表</t>
  </si>
  <si>
    <t>字符串列表</t>
  </si>
  <si>
    <t>PCFAA06</t>
  </si>
  <si>
    <t>A</t>
  </si>
  <si>
    <t>SwVersion</t>
  </si>
  <si>
    <t>软件版本</t>
  </si>
  <si>
    <t>网元的软件版本</t>
  </si>
  <si>
    <t>PCFAA07</t>
  </si>
  <si>
    <t>PatchInfo</t>
  </si>
  <si>
    <t>补丁信息</t>
  </si>
  <si>
    <t>补丁信息,用于表示当前网元加载的补丁名称列表。</t>
  </si>
  <si>
    <t>PCFAA08</t>
  </si>
  <si>
    <t>AdministrativeState</t>
  </si>
  <si>
    <t>管理状态</t>
  </si>
  <si>
    <t>管理的状态，取值范围为{Locked，Unlocked，ShuttingDown}</t>
  </si>
  <si>
    <t>枚举</t>
  </si>
  <si>
    <t>PCFAA09</t>
  </si>
  <si>
    <t>OperationalState</t>
  </si>
  <si>
    <t>运行状态</t>
  </si>
  <si>
    <t>运行的状态，取值范围为{Disabled, Enabled}</t>
  </si>
  <si>
    <t>PCFAB01</t>
  </si>
  <si>
    <t xml:space="preserve">命名属性 </t>
  </si>
  <si>
    <t>PCFAB02</t>
  </si>
  <si>
    <t>对象名称</t>
  </si>
  <si>
    <t>PCFAB03</t>
  </si>
  <si>
    <t>PCFAB04</t>
  </si>
  <si>
    <t>PCFAB05</t>
  </si>
  <si>
    <t>VnfInstanceId</t>
  </si>
  <si>
    <t>虚拟化实例标识</t>
  </si>
  <si>
    <t>虚拟网元的InstanceId</t>
  </si>
  <si>
    <t>Fqdn</t>
  </si>
  <si>
    <t>PcfFunction的FQDN</t>
  </si>
  <si>
    <t>基于服务化接口PcfFunction的FQDN，FQDN结构请参见TS23.003.</t>
  </si>
  <si>
    <t>PCFAB06</t>
  </si>
  <si>
    <t>SbiServiceList</t>
  </si>
  <si>
    <t>PcfFunction的服务列表</t>
  </si>
  <si>
    <t>PcfFunction上所有注册到服务化接口的service列表，该列表由每个service的名称组成。其中ServiceName参见29.510 Table 6.1.6.3.11-1: Enumeration ServiceName定义</t>
  </si>
  <si>
    <t>PCFAC01</t>
  </si>
  <si>
    <t>命名属性</t>
  </si>
  <si>
    <t>PCFAC02</t>
  </si>
  <si>
    <r>
      <rPr>
        <sz val="10"/>
        <rFont val="宋体"/>
        <charset val="134"/>
        <scheme val="minor"/>
      </rPr>
      <t xml:space="preserve">用户友好名，由EMS厂商自己指定，做为其内部标识，并可被NMS修改。 </t>
    </r>
    <r>
      <rPr>
        <sz val="10"/>
        <color rgb="FF0000FF"/>
        <rFont val="宋体"/>
        <charset val="134"/>
        <scheme val="minor"/>
      </rPr>
      <t>语音PCF不涉及Udr，语音PCF对应指标填写PCF的取值。</t>
    </r>
  </si>
  <si>
    <t>PCFAC03</t>
  </si>
  <si>
    <t>管理的状态，枚举型 {Locked, Unlocked, ShuttingDown}</t>
  </si>
  <si>
    <t>继承自ManagedFunction</t>
  </si>
  <si>
    <t>PCFAC04</t>
  </si>
  <si>
    <r>
      <rPr>
        <sz val="10"/>
        <rFont val="宋体"/>
        <charset val="134"/>
        <scheme val="minor"/>
      </rPr>
      <t>运行的状态，枚举型</t>
    </r>
    <r>
      <rPr>
        <sz val="10"/>
        <rFont val="宋体"/>
        <charset val="134"/>
      </rPr>
      <t>{Disabled,Enabled}</t>
    </r>
  </si>
  <si>
    <t>PCFAC07</t>
  </si>
  <si>
    <t>MaxSubNbr</t>
  </si>
  <si>
    <t>最大签约用户数</t>
  </si>
  <si>
    <r>
      <rPr>
        <sz val="10"/>
        <rFont val="宋体"/>
        <charset val="134"/>
      </rPr>
      <t xml:space="preserve">UDR最大能存储的签约用户的个数，该值受软硬件条件共同限制，如Licence。
</t>
    </r>
    <r>
      <rPr>
        <sz val="10"/>
        <color rgb="FF0000FF"/>
        <rFont val="宋体"/>
        <charset val="134"/>
      </rPr>
      <t>语音PCF不涉及Udr，语音PCF对应指标填0。</t>
    </r>
  </si>
  <si>
    <t>整数</t>
  </si>
  <si>
    <t>个</t>
  </si>
  <si>
    <t>PCFAD01</t>
  </si>
  <si>
    <t>无</t>
  </si>
  <si>
    <t>PCFAD02</t>
  </si>
  <si>
    <t>用户友好名，由EMS厂商自己指定，做为其内部标识，并可被NMS修改。</t>
  </si>
  <si>
    <t>PCFAD03</t>
  </si>
  <si>
    <t>InterfaceType</t>
  </si>
  <si>
    <t>接口类型</t>
  </si>
  <si>
    <t>包含管理接口和业务接口（信令和媒体）。枚举型{Mgt,Rx,Gx,N5,N7,N15,N28}，备注：管理接口为Mgt。</t>
  </si>
  <si>
    <t>枚举值</t>
  </si>
  <si>
    <t>管理接口：网管维护接口
业务接口：网元业务接口</t>
  </si>
  <si>
    <t>PCFAD04</t>
  </si>
  <si>
    <t>LocIpV4AddrList</t>
  </si>
  <si>
    <t>本端IPV4地址列表</t>
  </si>
  <si>
    <t>参考点所关联的本端网元的IP地址列表（Ipv4地址格式），如无IPV4地址，填写{Default}。</t>
  </si>
  <si>
    <t>PCFAD05</t>
  </si>
  <si>
    <t>LocIpV6AddrList</t>
  </si>
  <si>
    <t>本端IPV6地址列表</t>
  </si>
  <si>
    <t>参考点所关联的本端网元的IP地址列表（Ipv6地址格式），如无IPV6地址，填写{Default}。</t>
  </si>
  <si>
    <t>一、IOC包含关系图</t>
  </si>
  <si>
    <t>二、IOC继承关系图</t>
  </si>
  <si>
    <t>参与规范编写人员名单</t>
  </si>
  <si>
    <t>姓名</t>
  </si>
  <si>
    <t>公司</t>
  </si>
  <si>
    <t>手机</t>
  </si>
  <si>
    <t>邮箱</t>
  </si>
  <si>
    <t>崔璀璀</t>
  </si>
  <si>
    <t>爱立信</t>
  </si>
  <si>
    <t>tracy.c.cui@ericsson.com</t>
  </si>
  <si>
    <t>何刚</t>
  </si>
  <si>
    <t>grant.he@ericsson.com</t>
  </si>
  <si>
    <t>蒋炜</t>
  </si>
  <si>
    <t>will.jiang@ericsson.com</t>
  </si>
  <si>
    <t>李云刚</t>
  </si>
  <si>
    <t>yungang.li@ericsson.com</t>
  </si>
  <si>
    <t>刘强</t>
  </si>
  <si>
    <t>qiang.liu@ericsson.com</t>
  </si>
  <si>
    <t>时森</t>
  </si>
  <si>
    <t>sen.shi@ericsson.com</t>
  </si>
  <si>
    <t>杨利</t>
  </si>
  <si>
    <t>li.g.yang@ericsson.com</t>
  </si>
  <si>
    <t>张一帆</t>
  </si>
  <si>
    <t>grace.f.zhang@ericsson.com</t>
  </si>
  <si>
    <t>常轶钊</t>
  </si>
  <si>
    <t>华为</t>
  </si>
  <si>
    <t>changyizha@huawei.com</t>
  </si>
  <si>
    <t>陈恒</t>
  </si>
  <si>
    <t>andrew.chen@huawei.com</t>
  </si>
  <si>
    <t>高胜展</t>
  </si>
  <si>
    <t>gaoshnegzhan@huawei.com</t>
  </si>
  <si>
    <t>姜传奎</t>
  </si>
  <si>
    <t>jiangchuankui@huawei.com</t>
  </si>
  <si>
    <t>刘佳琦</t>
  </si>
  <si>
    <t>lihong-david.zhang@huawei.com</t>
  </si>
  <si>
    <t>裘彤</t>
  </si>
  <si>
    <t>诺基亚</t>
  </si>
  <si>
    <t>tong.qiu@nokia-sbell.com</t>
  </si>
  <si>
    <t>王朋东</t>
  </si>
  <si>
    <t>pengle.wang@nokia-sbell.com</t>
  </si>
  <si>
    <t>王维星</t>
  </si>
  <si>
    <t>weixing.wang@nokia-sbell.com</t>
  </si>
  <si>
    <t>王扬</t>
  </si>
  <si>
    <t>yong.5.wang@nokia-sbell.com</t>
  </si>
  <si>
    <t>张力宏</t>
  </si>
  <si>
    <t>lihong-david.zhang@nokia-sbell.com</t>
  </si>
  <si>
    <t>设计院</t>
  </si>
  <si>
    <t>huyaxi@cmdi.chinamobile.com</t>
  </si>
  <si>
    <t>陈刚</t>
  </si>
  <si>
    <t>中兴</t>
  </si>
  <si>
    <t>chengang10@zte.com.cn</t>
  </si>
  <si>
    <t>陈胜平</t>
  </si>
  <si>
    <t>chen.shengping@zte.com.cn</t>
  </si>
  <si>
    <t>黄勇</t>
  </si>
  <si>
    <t>huang.yong3@zte.com.cn</t>
  </si>
  <si>
    <t>刘磊</t>
  </si>
  <si>
    <t>liulei6@zte.com.cn</t>
  </si>
  <si>
    <t>陆洋</t>
  </si>
  <si>
    <t>lu.yang@zte.com.cn</t>
  </si>
  <si>
    <t>田东明</t>
  </si>
  <si>
    <t>tian.dongming@zte.com</t>
  </si>
  <si>
    <t>杨洋</t>
  </si>
  <si>
    <t>yangyang115@zte.com.cn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</si>
</sst>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indexed="9"/>
      <name val="宋体"/>
      <charset val="134"/>
      <scheme val="minor"/>
    </font>
    <font>
      <sz val="10"/>
      <color rgb="FF060EFF"/>
      <name val="宋体"/>
      <charset val="134"/>
      <scheme val="minor"/>
    </font>
    <font>
      <sz val="10"/>
      <color rgb="FF0000FF"/>
      <name val="宋体"/>
      <charset val="134"/>
      <scheme val="minor"/>
    </font>
    <font>
      <b/>
      <sz val="11"/>
      <name val="Calibri"/>
      <charset val="134"/>
    </font>
    <font>
      <b/>
      <sz val="10"/>
      <name val="黑体"/>
      <charset val="134"/>
    </font>
    <font>
      <sz val="10"/>
      <color indexed="12"/>
      <name val="宋体"/>
      <charset val="134"/>
    </font>
    <font>
      <sz val="10"/>
      <color rgb="FF0000FF"/>
      <name val="宋体"/>
      <charset val="134"/>
    </font>
    <font>
      <sz val="10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Times New Roman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FF"/>
      <name val="宋体"/>
      <charset val="134"/>
      <scheme val="minor"/>
    </font>
    <font>
      <b/>
      <sz val="11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384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18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16" borderId="7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/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0" fillId="0" borderId="0"/>
    <xf numFmtId="0" fontId="31" fillId="0" borderId="8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2" fillId="20" borderId="10" applyNumberFormat="0" applyAlignment="0" applyProtection="0">
      <alignment vertical="center"/>
    </xf>
    <xf numFmtId="0" fontId="33" fillId="20" borderId="6" applyNumberFormat="0" applyAlignment="0" applyProtection="0">
      <alignment vertical="center"/>
    </xf>
    <xf numFmtId="0" fontId="34" fillId="21" borderId="11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4" fillId="0" borderId="0"/>
    <xf numFmtId="0" fontId="28" fillId="0" borderId="0"/>
    <xf numFmtId="0" fontId="28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2" borderId="0" xfId="0" applyFont="1" applyFill="1"/>
    <xf numFmtId="0" fontId="4" fillId="0" borderId="0" xfId="51" applyFill="1" applyAlignment="1"/>
    <xf numFmtId="0" fontId="5" fillId="3" borderId="1" xfId="51" applyFont="1" applyFill="1" applyBorder="1" applyAlignment="1">
      <alignment horizontal="left" vertical="center" wrapText="1"/>
    </xf>
    <xf numFmtId="0" fontId="5" fillId="3" borderId="1" xfId="51" applyFont="1" applyFill="1" applyBorder="1" applyAlignment="1">
      <alignment horizontal="center" vertical="center" wrapText="1"/>
    </xf>
    <xf numFmtId="0" fontId="5" fillId="3" borderId="1" xfId="51" applyFont="1" applyFill="1" applyBorder="1" applyAlignment="1">
      <alignment horizontal="justify" vertical="center" wrapText="1"/>
    </xf>
    <xf numFmtId="0" fontId="6" fillId="0" borderId="1" xfId="51" applyFont="1" applyBorder="1" applyAlignment="1">
      <alignment horizontal="center" vertical="center"/>
    </xf>
    <xf numFmtId="0" fontId="7" fillId="0" borderId="1" xfId="52" applyFont="1" applyFill="1" applyBorder="1" applyAlignment="1">
      <alignment horizontal="center" vertical="center"/>
    </xf>
    <xf numFmtId="0" fontId="7" fillId="0" borderId="1" xfId="51" applyFont="1" applyBorder="1" applyAlignment="1">
      <alignment horizontal="left" vertical="center" wrapText="1"/>
    </xf>
    <xf numFmtId="0" fontId="7" fillId="0" borderId="1" xfId="52" applyFont="1" applyFill="1" applyBorder="1" applyAlignment="1">
      <alignment vertical="center" wrapText="1"/>
    </xf>
    <xf numFmtId="0" fontId="7" fillId="0" borderId="1" xfId="52" applyFont="1" applyFill="1" applyBorder="1" applyAlignment="1">
      <alignment vertical="center"/>
    </xf>
    <xf numFmtId="0" fontId="6" fillId="4" borderId="0" xfId="51" applyFont="1" applyFill="1"/>
    <xf numFmtId="0" fontId="7" fillId="4" borderId="1" xfId="51" applyFont="1" applyFill="1" applyBorder="1" applyAlignment="1">
      <alignment horizontal="left" vertical="center" wrapText="1"/>
    </xf>
    <xf numFmtId="0" fontId="6" fillId="0" borderId="1" xfId="51" applyFont="1" applyBorder="1" applyAlignment="1">
      <alignment vertical="center"/>
    </xf>
    <xf numFmtId="0" fontId="6" fillId="0" borderId="1" xfId="51" applyFont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52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52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Font="1"/>
    <xf numFmtId="0" fontId="1" fillId="0" borderId="0" xfId="0" applyFont="1" applyBorder="1"/>
    <xf numFmtId="0" fontId="1" fillId="0" borderId="0" xfId="52" applyFont="1" applyBorder="1" applyAlignment="1">
      <alignment horizontal="center" vertical="center"/>
    </xf>
    <xf numFmtId="0" fontId="1" fillId="0" borderId="0" xfId="52" applyFont="1"/>
    <xf numFmtId="0" fontId="3" fillId="0" borderId="1" xfId="52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52" applyFont="1" applyBorder="1" applyAlignment="1">
      <alignment horizontal="left" vertical="center"/>
    </xf>
    <xf numFmtId="0" fontId="8" fillId="0" borderId="1" xfId="21" applyFont="1" applyBorder="1" applyAlignment="1">
      <alignment horizontal="left"/>
    </xf>
    <xf numFmtId="0" fontId="3" fillId="2" borderId="1" xfId="52" applyFont="1" applyFill="1" applyBorder="1" applyAlignment="1">
      <alignment horizontal="left" vertical="center"/>
    </xf>
    <xf numFmtId="0" fontId="3" fillId="2" borderId="1" xfId="52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9" fillId="0" borderId="0" xfId="21" applyFont="1" applyAlignment="1">
      <alignment horizontal="center"/>
    </xf>
    <xf numFmtId="0" fontId="1" fillId="0" borderId="0" xfId="21" applyFont="1" applyAlignment="1">
      <alignment horizontal="center"/>
    </xf>
    <xf numFmtId="0" fontId="10" fillId="6" borderId="1" xfId="0" applyFont="1" applyFill="1" applyBorder="1" applyAlignment="1">
      <alignment horizontal="center" vertical="center" wrapText="1"/>
    </xf>
    <xf numFmtId="0" fontId="1" fillId="0" borderId="1" xfId="21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 wrapText="1"/>
    </xf>
    <xf numFmtId="0" fontId="1" fillId="0" borderId="1" xfId="21" applyFont="1" applyBorder="1" applyAlignment="1">
      <alignment horizontal="left" vertical="center"/>
    </xf>
    <xf numFmtId="0" fontId="1" fillId="0" borderId="1" xfId="21" applyFont="1" applyBorder="1" applyAlignment="1">
      <alignment horizontal="justify" vertical="center" wrapText="1"/>
    </xf>
    <xf numFmtId="0" fontId="1" fillId="0" borderId="1" xfId="21" applyFont="1" applyBorder="1" applyAlignment="1">
      <alignment horizontal="left" vertical="center" wrapText="1"/>
    </xf>
    <xf numFmtId="0" fontId="7" fillId="0" borderId="1" xfId="21" applyFont="1" applyBorder="1" applyAlignment="1">
      <alignment horizontal="center" vertical="center"/>
    </xf>
    <xf numFmtId="0" fontId="11" fillId="0" borderId="1" xfId="21" applyFont="1" applyFill="1" applyBorder="1" applyAlignment="1">
      <alignment horizontal="justify" vertical="center"/>
    </xf>
    <xf numFmtId="0" fontId="11" fillId="0" borderId="0" xfId="21" applyFont="1" applyFill="1" applyAlignment="1">
      <alignment horizontal="justify" vertical="center"/>
    </xf>
    <xf numFmtId="0" fontId="12" fillId="0" borderId="1" xfId="21" applyFont="1" applyBorder="1" applyAlignment="1">
      <alignment horizontal="left" vertical="center"/>
    </xf>
    <xf numFmtId="0" fontId="1" fillId="7" borderId="1" xfId="2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7" borderId="1" xfId="21" applyFont="1" applyFill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/>
    <xf numFmtId="0" fontId="3" fillId="0" borderId="3" xfId="0" applyNumberFormat="1" applyFont="1" applyFill="1" applyBorder="1" applyAlignment="1"/>
    <xf numFmtId="0" fontId="15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0" fontId="3" fillId="1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/>
    <xf numFmtId="0" fontId="3" fillId="0" borderId="5" xfId="0" applyNumberFormat="1" applyFont="1" applyFill="1" applyBorder="1" applyAlignment="1"/>
    <xf numFmtId="0" fontId="3" fillId="0" borderId="0" xfId="0" applyFont="1" applyFill="1" applyAlignment="1"/>
    <xf numFmtId="0" fontId="3" fillId="0" borderId="0" xfId="21" applyFont="1" applyAlignment="1">
      <alignment horizontal="left"/>
    </xf>
    <xf numFmtId="0" fontId="8" fillId="0" borderId="1" xfId="18" applyFont="1" applyBorder="1" applyAlignment="1">
      <alignment horizontal="left"/>
    </xf>
    <xf numFmtId="0" fontId="3" fillId="0" borderId="1" xfId="21" applyFont="1" applyBorder="1" applyAlignment="1">
      <alignment horizontal="left" vertical="top"/>
    </xf>
    <xf numFmtId="14" fontId="3" fillId="0" borderId="1" xfId="21" applyNumberFormat="1" applyFont="1" applyBorder="1" applyAlignment="1">
      <alignment horizontal="left" vertical="top"/>
    </xf>
    <xf numFmtId="0" fontId="3" fillId="0" borderId="1" xfId="21" applyFont="1" applyBorder="1" applyAlignment="1">
      <alignment horizontal="left" vertical="top" wrapText="1"/>
    </xf>
    <xf numFmtId="0" fontId="3" fillId="0" borderId="1" xfId="21" applyFont="1" applyBorder="1" applyAlignment="1">
      <alignment horizontal="left"/>
    </xf>
    <xf numFmtId="14" fontId="3" fillId="0" borderId="1" xfId="21" applyNumberFormat="1" applyFont="1" applyBorder="1" applyAlignment="1">
      <alignment horizontal="left"/>
    </xf>
    <xf numFmtId="0" fontId="3" fillId="0" borderId="1" xfId="21" applyFont="1" applyBorder="1" applyAlignment="1">
      <alignment horizontal="left" wrapText="1"/>
    </xf>
    <xf numFmtId="0" fontId="3" fillId="0" borderId="1" xfId="21" applyFont="1" applyBorder="1" applyAlignment="1">
      <alignment horizontal="left" vertical="center"/>
    </xf>
    <xf numFmtId="14" fontId="3" fillId="0" borderId="1" xfId="21" applyNumberFormat="1" applyFont="1" applyBorder="1" applyAlignment="1">
      <alignment horizontal="left" vertical="center"/>
    </xf>
    <xf numFmtId="0" fontId="3" fillId="0" borderId="1" xfId="2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14" fontId="16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21" applyFont="1" applyBorder="1" applyAlignment="1">
      <alignment horizontal="left"/>
    </xf>
    <xf numFmtId="14" fontId="16" fillId="0" borderId="1" xfId="21" applyNumberFormat="1" applyFont="1" applyBorder="1" applyAlignment="1">
      <alignment horizontal="left"/>
    </xf>
    <xf numFmtId="0" fontId="17" fillId="0" borderId="1" xfId="21" applyFont="1" applyBorder="1" applyAlignment="1">
      <alignment horizontal="left"/>
    </xf>
    <xf numFmtId="0" fontId="6" fillId="0" borderId="1" xfId="21" applyFont="1" applyBorder="1" applyAlignment="1">
      <alignment horizontal="left" wrapText="1"/>
    </xf>
    <xf numFmtId="0" fontId="17" fillId="0" borderId="1" xfId="21" applyFont="1" applyBorder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_中国移动3G OMC北向接口配置资源模型ICS－BG分册" xfId="18"/>
    <cellStyle name="解释性文本" xfId="19" builtinId="53"/>
    <cellStyle name="标题 1" xfId="20" builtinId="16"/>
    <cellStyle name="0,0_x000d__x000a_NA_x000d__x000a_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_NRM-Mgw(v3.0.0)_20081219r1-中兴答复r1" xfId="52"/>
    <cellStyle name="样式 1" xfId="53"/>
  </cellStyles>
  <dxfs count="1">
    <dxf>
      <font>
        <b val="1"/>
        <color indexed="10"/>
      </font>
    </dxf>
  </dxfs>
  <tableStyles count="0" defaultTableStyle="TableStyleMedium9" defaultPivotStyle="PivotStyleLight16"/>
  <colors>
    <mruColors>
      <color rgb="000000FF"/>
      <color rgb="000066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314325</xdr:colOff>
      <xdr:row>2</xdr:row>
      <xdr:rowOff>104775</xdr:rowOff>
    </xdr:from>
    <xdr:to>
      <xdr:col>8</xdr:col>
      <xdr:colOff>247650</xdr:colOff>
      <xdr:row>22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7425" y="434975"/>
          <a:ext cx="4645025" cy="320675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23</xdr:row>
      <xdr:rowOff>85725</xdr:rowOff>
    </xdr:from>
    <xdr:to>
      <xdr:col>9</xdr:col>
      <xdr:colOff>647700</xdr:colOff>
      <xdr:row>45</xdr:row>
      <xdr:rowOff>66675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7675" y="3883025"/>
          <a:ext cx="6257925" cy="3613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G7" sqref="G7"/>
    </sheetView>
  </sheetViews>
  <sheetFormatPr defaultColWidth="9" defaultRowHeight="13" outlineLevelCol="3"/>
  <cols>
    <col min="1" max="1" width="9" style="77" customWidth="1"/>
    <col min="2" max="2" width="10.0833333333333" style="77" customWidth="1"/>
    <col min="3" max="3" width="52.5" style="77" customWidth="1"/>
    <col min="4" max="4" width="23.75" style="77" customWidth="1"/>
    <col min="5" max="16384" width="9" style="77"/>
  </cols>
  <sheetData>
    <row r="1" spans="1:4">
      <c r="A1" s="78" t="s">
        <v>0</v>
      </c>
      <c r="B1" s="78" t="s">
        <v>1</v>
      </c>
      <c r="C1" s="78" t="s">
        <v>2</v>
      </c>
      <c r="D1" s="78" t="s">
        <v>3</v>
      </c>
    </row>
    <row r="2" spans="1:4">
      <c r="A2" s="79" t="s">
        <v>4</v>
      </c>
      <c r="B2" s="80">
        <v>43462</v>
      </c>
      <c r="C2" s="79" t="s">
        <v>5</v>
      </c>
      <c r="D2" s="79" t="s">
        <v>6</v>
      </c>
    </row>
    <row r="3" spans="1:4">
      <c r="A3" s="79" t="s">
        <v>7</v>
      </c>
      <c r="B3" s="80">
        <v>43482</v>
      </c>
      <c r="C3" s="81" t="s">
        <v>8</v>
      </c>
      <c r="D3" s="79" t="s">
        <v>9</v>
      </c>
    </row>
    <row r="4" spans="1:4">
      <c r="A4" s="79" t="s">
        <v>10</v>
      </c>
      <c r="B4" s="80">
        <v>43516</v>
      </c>
      <c r="C4" s="81" t="s">
        <v>11</v>
      </c>
      <c r="D4" s="79" t="s">
        <v>12</v>
      </c>
    </row>
    <row r="5" spans="1:4">
      <c r="A5" s="82" t="s">
        <v>13</v>
      </c>
      <c r="B5" s="83">
        <v>43732</v>
      </c>
      <c r="C5" s="84" t="s">
        <v>14</v>
      </c>
      <c r="D5" s="82" t="s">
        <v>6</v>
      </c>
    </row>
    <row r="6" ht="39" spans="1:4">
      <c r="A6" s="85" t="s">
        <v>15</v>
      </c>
      <c r="B6" s="86">
        <v>43821</v>
      </c>
      <c r="C6" s="87" t="s">
        <v>16</v>
      </c>
      <c r="D6" s="85" t="s">
        <v>17</v>
      </c>
    </row>
    <row r="7" ht="26" spans="1:4">
      <c r="A7" s="82" t="s">
        <v>18</v>
      </c>
      <c r="B7" s="83">
        <v>44188</v>
      </c>
      <c r="C7" s="84" t="s">
        <v>19</v>
      </c>
      <c r="D7" s="82" t="s">
        <v>20</v>
      </c>
    </row>
    <row r="8" spans="1:4">
      <c r="A8" s="88" t="s">
        <v>21</v>
      </c>
      <c r="B8" s="89">
        <v>44249</v>
      </c>
      <c r="C8" s="90" t="s">
        <v>22</v>
      </c>
      <c r="D8" s="88" t="s">
        <v>20</v>
      </c>
    </row>
    <row r="9" spans="1:4">
      <c r="A9" s="91" t="s">
        <v>23</v>
      </c>
      <c r="B9" s="92">
        <v>44621</v>
      </c>
      <c r="C9" s="90" t="s">
        <v>22</v>
      </c>
      <c r="D9" s="88" t="s">
        <v>24</v>
      </c>
    </row>
    <row r="10" ht="39" spans="1:4">
      <c r="A10" s="93" t="s">
        <v>25</v>
      </c>
      <c r="B10" s="92">
        <v>44827</v>
      </c>
      <c r="C10" s="94" t="s">
        <v>26</v>
      </c>
      <c r="D10" s="95" t="s">
        <v>27</v>
      </c>
    </row>
  </sheetData>
  <pageMargins left="0.75" right="0.75" top="1" bottom="1" header="0.5" footer="0.5"/>
  <pageSetup paperSize="9" orientation="portrait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F9" sqref="F9"/>
    </sheetView>
  </sheetViews>
  <sheetFormatPr defaultColWidth="9" defaultRowHeight="15"/>
  <sheetData>
    <row r="1" spans="1:1">
      <c r="A1" s="66" t="s">
        <v>28</v>
      </c>
    </row>
    <row r="2" spans="1:12">
      <c r="A2" s="67" t="s">
        <v>29</v>
      </c>
      <c r="B2" s="68"/>
      <c r="C2" s="68"/>
      <c r="D2" s="69"/>
      <c r="E2" s="70" t="s">
        <v>30</v>
      </c>
      <c r="F2" s="68"/>
      <c r="G2" s="68"/>
      <c r="H2" s="68"/>
      <c r="I2" s="68"/>
      <c r="J2" s="68"/>
      <c r="K2" s="68"/>
      <c r="L2" s="69"/>
    </row>
    <row r="3" spans="1:12">
      <c r="A3" s="67" t="s">
        <v>31</v>
      </c>
      <c r="B3" s="68"/>
      <c r="C3" s="68"/>
      <c r="D3" s="69"/>
      <c r="E3" s="70" t="s">
        <v>32</v>
      </c>
      <c r="F3" s="68"/>
      <c r="G3" s="68"/>
      <c r="H3" s="68"/>
      <c r="I3" s="68"/>
      <c r="J3" s="68"/>
      <c r="K3" s="68"/>
      <c r="L3" s="69"/>
    </row>
    <row r="4" spans="1:12">
      <c r="A4" s="67" t="s">
        <v>33</v>
      </c>
      <c r="B4" s="68"/>
      <c r="C4" s="68"/>
      <c r="D4" s="69"/>
      <c r="E4" s="70" t="s">
        <v>34</v>
      </c>
      <c r="F4" s="68"/>
      <c r="G4" s="68"/>
      <c r="H4" s="68"/>
      <c r="I4" s="68"/>
      <c r="J4" s="68"/>
      <c r="K4" s="68"/>
      <c r="L4" s="69"/>
    </row>
    <row r="5" spans="1:12">
      <c r="A5" s="67" t="s">
        <v>35</v>
      </c>
      <c r="B5" s="68"/>
      <c r="C5" s="68"/>
      <c r="D5" s="69"/>
      <c r="E5" s="70" t="s">
        <v>36</v>
      </c>
      <c r="F5" s="68"/>
      <c r="G5" s="68"/>
      <c r="H5" s="68"/>
      <c r="I5" s="68"/>
      <c r="J5" s="68"/>
      <c r="K5" s="68"/>
      <c r="L5" s="69"/>
    </row>
    <row r="7" ht="26" spans="1:12">
      <c r="A7" s="67" t="s">
        <v>37</v>
      </c>
      <c r="B7" s="69"/>
      <c r="C7" s="67" t="s">
        <v>38</v>
      </c>
      <c r="D7" s="67" t="s">
        <v>39</v>
      </c>
      <c r="E7" s="67" t="s">
        <v>40</v>
      </c>
      <c r="F7" s="67" t="s">
        <v>41</v>
      </c>
      <c r="G7" s="67" t="s">
        <v>42</v>
      </c>
      <c r="H7" s="67" t="s">
        <v>43</v>
      </c>
      <c r="I7" s="67" t="s">
        <v>44</v>
      </c>
      <c r="J7" s="67" t="s">
        <v>45</v>
      </c>
      <c r="K7" s="67" t="s">
        <v>46</v>
      </c>
      <c r="L7" s="67" t="s">
        <v>47</v>
      </c>
    </row>
    <row r="8" spans="1:12">
      <c r="A8" s="67" t="s">
        <v>48</v>
      </c>
      <c r="B8" s="67" t="s">
        <v>49</v>
      </c>
      <c r="C8" s="67">
        <f>Index!E6</f>
        <v>2</v>
      </c>
      <c r="D8" s="71" t="s">
        <v>50</v>
      </c>
      <c r="E8" s="71">
        <f>Index!O6</f>
        <v>0</v>
      </c>
      <c r="F8" s="71">
        <f>Index!U6</f>
        <v>0</v>
      </c>
      <c r="G8" s="71">
        <f>Index!AA6</f>
        <v>0</v>
      </c>
      <c r="H8" s="71">
        <f>Index!AG6</f>
        <v>0</v>
      </c>
      <c r="I8" s="71">
        <f>Index!AM6</f>
        <v>0</v>
      </c>
      <c r="J8" s="73">
        <f>(E8+E11)/(C8+C11-D11)</f>
        <v>0</v>
      </c>
      <c r="K8" s="73">
        <f>((E8+E11)+0.8*(F8+F11)+0.6*(G8+G11)+0.4*(H8+H11)+0.2*(I8+I11))/(C8+C11-D11)</f>
        <v>0</v>
      </c>
      <c r="L8" s="73">
        <f>((E8+E11)+(F8+F11)+(G8+G11)+(H8+H11)+(I8+I11))/(C8+C11-D11)</f>
        <v>0</v>
      </c>
    </row>
    <row r="9" spans="1:12">
      <c r="A9" s="71"/>
      <c r="B9" s="67" t="s">
        <v>51</v>
      </c>
      <c r="C9" s="67">
        <f>Index!F6</f>
        <v>24</v>
      </c>
      <c r="D9" s="71" t="s">
        <v>50</v>
      </c>
      <c r="E9" s="71">
        <f>Index!P6</f>
        <v>0</v>
      </c>
      <c r="F9" s="71">
        <f>Index!V6</f>
        <v>0</v>
      </c>
      <c r="G9" s="71">
        <f>Index!AB6</f>
        <v>0</v>
      </c>
      <c r="H9" s="71">
        <f>Index!AH6</f>
        <v>0</v>
      </c>
      <c r="I9" s="71">
        <f>Index!AN6</f>
        <v>0</v>
      </c>
      <c r="J9" s="73">
        <f>(E9+E12)/(C9+C12-D12)</f>
        <v>0</v>
      </c>
      <c r="K9" s="73">
        <f>((E9+E12)+0.8*(F9+F12)+0.6*(G9+G12)+0.4*(H9+H12)+0.2*(I9+I12))/(C9+C12-D12)</f>
        <v>0</v>
      </c>
      <c r="L9" s="73">
        <f>((E9+E12)+(F9+F12)+(G9+G12)+(H9+H12)+(I9+I12))/(C9+C12-D12)</f>
        <v>0</v>
      </c>
    </row>
    <row r="10" spans="1:12">
      <c r="A10" s="71"/>
      <c r="B10" s="67" t="s">
        <v>52</v>
      </c>
      <c r="C10" s="67">
        <f>Index!G6</f>
        <v>0</v>
      </c>
      <c r="D10" s="71" t="s">
        <v>50</v>
      </c>
      <c r="E10" s="71">
        <f>Index!Q6</f>
        <v>0</v>
      </c>
      <c r="F10" s="71">
        <f>Index!W6</f>
        <v>0</v>
      </c>
      <c r="G10" s="71">
        <f>Index!AC6</f>
        <v>0</v>
      </c>
      <c r="H10" s="71">
        <f>Index!AI6</f>
        <v>0</v>
      </c>
      <c r="I10" s="71">
        <f>Index!AO6</f>
        <v>0</v>
      </c>
      <c r="J10" s="73" t="e">
        <f>(E10+E13)/(C10+C13-D13)</f>
        <v>#DIV/0!</v>
      </c>
      <c r="K10" s="73" t="e">
        <f>((E10+E13)+0.8*(F10+F13)+0.6*(G10+G13)+0.4*(H10+H13)+0.2*(I10+I13))/(C10+C13-D13)</f>
        <v>#DIV/0!</v>
      </c>
      <c r="L10" s="73" t="e">
        <f>((E10+E13)+(F10+F13)+(G10+G13)+(H10+H13)+(I10+I13))/(C10+C13-D13)</f>
        <v>#DIV/0!</v>
      </c>
    </row>
    <row r="11" spans="1:12">
      <c r="A11" s="67"/>
      <c r="B11" s="67" t="s">
        <v>53</v>
      </c>
      <c r="C11" s="67">
        <f>Index!H6</f>
        <v>0</v>
      </c>
      <c r="D11" s="71">
        <f>Index!L6</f>
        <v>0</v>
      </c>
      <c r="E11" s="71">
        <f>Index!R6</f>
        <v>0</v>
      </c>
      <c r="F11" s="71">
        <f>Index!X6</f>
        <v>0</v>
      </c>
      <c r="G11" s="71">
        <f>Index!AD6</f>
        <v>0</v>
      </c>
      <c r="H11" s="71">
        <f>Index!AJ6</f>
        <v>0</v>
      </c>
      <c r="I11" s="71">
        <f>Index!AP6</f>
        <v>0</v>
      </c>
      <c r="J11" s="67"/>
      <c r="K11" s="74"/>
      <c r="L11" s="75"/>
    </row>
    <row r="12" spans="1:12">
      <c r="A12" s="67"/>
      <c r="B12" s="67" t="s">
        <v>54</v>
      </c>
      <c r="C12" s="67">
        <f>Index!I6</f>
        <v>0</v>
      </c>
      <c r="D12" s="71">
        <f>Index!M6</f>
        <v>0</v>
      </c>
      <c r="E12" s="71">
        <f>Index!S6</f>
        <v>0</v>
      </c>
      <c r="F12" s="71">
        <f>Index!Y6</f>
        <v>0</v>
      </c>
      <c r="G12" s="71">
        <f>Index!AE6</f>
        <v>0</v>
      </c>
      <c r="H12" s="71">
        <f>Index!AK6</f>
        <v>0</v>
      </c>
      <c r="I12" s="71">
        <f>Index!AQ6</f>
        <v>0</v>
      </c>
      <c r="J12" s="76"/>
      <c r="K12" s="76"/>
      <c r="L12" s="71"/>
    </row>
    <row r="13" spans="1:12">
      <c r="A13" s="67"/>
      <c r="B13" s="67" t="s">
        <v>55</v>
      </c>
      <c r="C13" s="67">
        <f>Index!J6</f>
        <v>0</v>
      </c>
      <c r="D13" s="71">
        <f>Index!N6</f>
        <v>0</v>
      </c>
      <c r="E13" s="71">
        <f>Index!T6</f>
        <v>0</v>
      </c>
      <c r="F13" s="71">
        <f>Index!Z6</f>
        <v>0</v>
      </c>
      <c r="G13" s="71">
        <f>Index!AF6</f>
        <v>0</v>
      </c>
      <c r="H13" s="71">
        <f>Index!AL6</f>
        <v>0</v>
      </c>
      <c r="I13" s="71">
        <f>Index!AR6</f>
        <v>0</v>
      </c>
      <c r="J13" s="67"/>
      <c r="K13" s="67"/>
      <c r="L13" s="67"/>
    </row>
    <row r="17" spans="1:1">
      <c r="A17" t="s">
        <v>56</v>
      </c>
    </row>
    <row r="18" spans="1:1">
      <c r="A18" s="72" t="s">
        <v>57</v>
      </c>
    </row>
    <row r="19" spans="1:1">
      <c r="A19" s="72" t="s">
        <v>58</v>
      </c>
    </row>
    <row r="20" spans="1:1">
      <c r="A20" s="72" t="s">
        <v>59</v>
      </c>
    </row>
    <row r="21" spans="1:1">
      <c r="A21" s="72" t="s">
        <v>60</v>
      </c>
    </row>
    <row r="22" spans="1:1">
      <c r="A22" s="72" t="s">
        <v>61</v>
      </c>
    </row>
    <row r="23" spans="1:1">
      <c r="A23" s="72" t="s">
        <v>62</v>
      </c>
    </row>
  </sheetData>
  <mergeCells count="21">
    <mergeCell ref="A1:L1"/>
    <mergeCell ref="A2:D2"/>
    <mergeCell ref="E2:L2"/>
    <mergeCell ref="A3:D3"/>
    <mergeCell ref="E3:L3"/>
    <mergeCell ref="A4:D4"/>
    <mergeCell ref="E4:L4"/>
    <mergeCell ref="A5:D5"/>
    <mergeCell ref="E5:L5"/>
    <mergeCell ref="A6:L6"/>
    <mergeCell ref="A7:B7"/>
    <mergeCell ref="A17:L17"/>
    <mergeCell ref="A18:L18"/>
    <mergeCell ref="A19:L19"/>
    <mergeCell ref="A20:L20"/>
    <mergeCell ref="A21:L21"/>
    <mergeCell ref="A22:L22"/>
    <mergeCell ref="A23:L23"/>
    <mergeCell ref="A8:A13"/>
    <mergeCell ref="J11:L13"/>
    <mergeCell ref="A14:L16"/>
  </mergeCells>
  <conditionalFormatting sqref="J8:L8">
    <cfRule type="cellIs" dxfId="0" priority="1" operator="lessThan">
      <formula>1</formula>
    </cfRule>
  </conditionalFormatting>
  <conditionalFormatting sqref="J9:L9">
    <cfRule type="cellIs" dxfId="0" priority="2" operator="lessThan">
      <formula>0.9</formula>
    </cfRule>
  </conditionalFormatting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6"/>
  <sheetViews>
    <sheetView workbookViewId="0">
      <selection activeCell="F2" sqref="F2:F5"/>
    </sheetView>
  </sheetViews>
  <sheetFormatPr defaultColWidth="9" defaultRowHeight="13" outlineLevelRow="5"/>
  <cols>
    <col min="1" max="1" width="4.58333333333333" style="50" customWidth="1"/>
    <col min="2" max="2" width="14.1666666666667" style="50" customWidth="1"/>
    <col min="3" max="3" width="32.6666666666667" style="50" customWidth="1"/>
    <col min="4" max="4" width="14.0833333333333" style="50" customWidth="1"/>
    <col min="5" max="10" width="5.83333333333333" style="50" customWidth="1"/>
    <col min="11" max="11" width="4.58333333333333" style="50" customWidth="1"/>
    <col min="12" max="16384" width="9" style="50"/>
  </cols>
  <sheetData>
    <row r="1" ht="39" spans="1:44">
      <c r="A1" s="51" t="s">
        <v>63</v>
      </c>
      <c r="B1" s="51" t="s">
        <v>64</v>
      </c>
      <c r="C1" s="51" t="s">
        <v>65</v>
      </c>
      <c r="D1" s="51" t="s">
        <v>66</v>
      </c>
      <c r="E1" s="51" t="s">
        <v>67</v>
      </c>
      <c r="F1" s="51" t="s">
        <v>68</v>
      </c>
      <c r="G1" s="51" t="s">
        <v>69</v>
      </c>
      <c r="H1" s="51" t="s">
        <v>70</v>
      </c>
      <c r="I1" s="51" t="s">
        <v>71</v>
      </c>
      <c r="J1" s="51" t="s">
        <v>72</v>
      </c>
      <c r="K1" s="51" t="s">
        <v>73</v>
      </c>
      <c r="L1" s="62" t="s">
        <v>74</v>
      </c>
      <c r="M1" s="62" t="s">
        <v>75</v>
      </c>
      <c r="N1" s="62" t="s">
        <v>76</v>
      </c>
      <c r="O1" s="63" t="s">
        <v>77</v>
      </c>
      <c r="P1" s="63" t="s">
        <v>78</v>
      </c>
      <c r="Q1" s="63" t="s">
        <v>79</v>
      </c>
      <c r="R1" s="63" t="s">
        <v>80</v>
      </c>
      <c r="S1" s="63" t="s">
        <v>81</v>
      </c>
      <c r="T1" s="63" t="s">
        <v>82</v>
      </c>
      <c r="U1" s="62" t="s">
        <v>83</v>
      </c>
      <c r="V1" s="62" t="s">
        <v>84</v>
      </c>
      <c r="W1" s="62" t="s">
        <v>85</v>
      </c>
      <c r="X1" s="62" t="s">
        <v>86</v>
      </c>
      <c r="Y1" s="62" t="s">
        <v>87</v>
      </c>
      <c r="Z1" s="62" t="s">
        <v>88</v>
      </c>
      <c r="AA1" s="63" t="s">
        <v>89</v>
      </c>
      <c r="AB1" s="63" t="s">
        <v>90</v>
      </c>
      <c r="AC1" s="63" t="s">
        <v>91</v>
      </c>
      <c r="AD1" s="63" t="s">
        <v>92</v>
      </c>
      <c r="AE1" s="63" t="s">
        <v>93</v>
      </c>
      <c r="AF1" s="63" t="s">
        <v>94</v>
      </c>
      <c r="AG1" s="62" t="s">
        <v>95</v>
      </c>
      <c r="AH1" s="62" t="s">
        <v>96</v>
      </c>
      <c r="AI1" s="62" t="s">
        <v>97</v>
      </c>
      <c r="AJ1" s="62" t="s">
        <v>98</v>
      </c>
      <c r="AK1" s="62" t="s">
        <v>99</v>
      </c>
      <c r="AL1" s="62" t="s">
        <v>100</v>
      </c>
      <c r="AM1" s="63" t="s">
        <v>101</v>
      </c>
      <c r="AN1" s="63" t="s">
        <v>102</v>
      </c>
      <c r="AO1" s="63" t="s">
        <v>103</v>
      </c>
      <c r="AP1" s="63" t="s">
        <v>104</v>
      </c>
      <c r="AQ1" s="63" t="s">
        <v>105</v>
      </c>
      <c r="AR1" s="63" t="s">
        <v>106</v>
      </c>
    </row>
    <row r="2" s="49" customFormat="1" ht="15" spans="1:44">
      <c r="A2" s="52" t="s">
        <v>107</v>
      </c>
      <c r="B2" s="53" t="s">
        <v>108</v>
      </c>
      <c r="C2" s="54" t="s">
        <v>109</v>
      </c>
      <c r="D2" s="55" t="s">
        <v>110</v>
      </c>
      <c r="E2" s="52">
        <f>COUNTIF(AA!$B:$B,"A")</f>
        <v>1</v>
      </c>
      <c r="F2" s="52">
        <f>COUNTIF(AA!$B:$B,"B")</f>
        <v>8</v>
      </c>
      <c r="G2" s="52">
        <f>COUNTIF(AA!$B:$B,"C")</f>
        <v>0</v>
      </c>
      <c r="H2" s="52">
        <f>COUNTIF(AA!$B:$B,"CA")</f>
        <v>0</v>
      </c>
      <c r="I2" s="52">
        <f>COUNTIF(AA!$B:$B,"CB")</f>
        <v>0</v>
      </c>
      <c r="J2" s="52">
        <f>COUNTIF(AA!$B:$B,"CC")</f>
        <v>0</v>
      </c>
      <c r="K2" s="61">
        <f>SUM($E2:$J2)</f>
        <v>9</v>
      </c>
      <c r="L2" s="64">
        <f>SUMPRODUCT((AA!$B:$B="CA")*(AA!$I:$I="NA"))</f>
        <v>0</v>
      </c>
      <c r="M2" s="64">
        <f>SUMPRODUCT((AA!$B:$B="CB")*(AA!$I:$I="NA"))</f>
        <v>0</v>
      </c>
      <c r="N2" s="64">
        <f>SUMPRODUCT((AA!$B:$B="CC")*(AA!$I:$I="NA"))</f>
        <v>0</v>
      </c>
      <c r="O2" s="64">
        <f>SUMPRODUCT((AA!$B:$B="A")*(AA!$I:$I="T"))</f>
        <v>0</v>
      </c>
      <c r="P2" s="64">
        <f>SUMPRODUCT((AA!$B:$B="B")*(AA!$I:$I="T"))</f>
        <v>0</v>
      </c>
      <c r="Q2" s="64">
        <f>SUMPRODUCT((AA!$B:$B="C")*(AA!$I:$I="T"))</f>
        <v>0</v>
      </c>
      <c r="R2" s="64">
        <f>SUMPRODUCT((AA!$B:$B="CA")*(AA!$I:$I="T"))</f>
        <v>0</v>
      </c>
      <c r="S2" s="64">
        <f>SUMPRODUCT((AA!$B:$B="CB")*(AA!$I:$I="T"))</f>
        <v>0</v>
      </c>
      <c r="T2" s="64">
        <f>SUMPRODUCT((AA!$B:$B="CC")*(AA!$I:$I="T"))</f>
        <v>0</v>
      </c>
      <c r="U2" s="64">
        <f>SUMPRODUCT((AA!$B:$B="A")*(AA!$I:$I="T+1Q"))</f>
        <v>0</v>
      </c>
      <c r="V2" s="64">
        <f>SUMPRODUCT((AA!$B:$B="B")*(AA!$I:$I="T+1Q"))</f>
        <v>0</v>
      </c>
      <c r="W2" s="64">
        <f>SUMPRODUCT((AA!$B:$B="C")*(AA!$I:$I="T+1Q"))</f>
        <v>0</v>
      </c>
      <c r="X2" s="64">
        <f>SUMPRODUCT((AA!$B:$B="CA")*(AA!$I:$I="T+1Q"))</f>
        <v>0</v>
      </c>
      <c r="Y2" s="64">
        <f>SUMPRODUCT((AA!$B:$B="CB")*(AA!$I:$I="T+1Q"))</f>
        <v>0</v>
      </c>
      <c r="Z2" s="64">
        <f>SUMPRODUCT((AA!$B:$B="CC")*(AA!$I:$I="T+1Q"))</f>
        <v>0</v>
      </c>
      <c r="AA2" s="64">
        <f>SUMPRODUCT((AA!$B:$B="A")*(AA!$I:$I="T+2Q"))</f>
        <v>0</v>
      </c>
      <c r="AB2" s="64">
        <f>SUMPRODUCT((AA!$B:$B="B")*(AA!$I:$I="T+2Q"))</f>
        <v>0</v>
      </c>
      <c r="AC2" s="64">
        <f>SUMPRODUCT((AA!$B:$B="C")*(AA!$I:$I="T+2Q"))</f>
        <v>0</v>
      </c>
      <c r="AD2" s="64">
        <f>SUMPRODUCT((AA!$B:$B="CA")*(AA!$I:$I="T+2Q"))</f>
        <v>0</v>
      </c>
      <c r="AE2" s="64">
        <f>SUMPRODUCT((AA!$B:$B="CB")*(AA!$I:$I="T+2Q"))</f>
        <v>0</v>
      </c>
      <c r="AF2" s="64">
        <f>SUMPRODUCT((AA!$B:$B="CC")*(AA!$I:$I="T+2Q"))</f>
        <v>0</v>
      </c>
      <c r="AG2" s="64">
        <f>SUMPRODUCT((AA!$B:$B="A")*(AA!$I:$I="T+3Q"))</f>
        <v>0</v>
      </c>
      <c r="AH2" s="64">
        <f>SUMPRODUCT((AA!$B:$B="B")*(AA!$I:$I="T+3Q"))</f>
        <v>0</v>
      </c>
      <c r="AI2" s="64">
        <f>SUMPRODUCT((AA!$B:$B="C")*(AA!$I:$I="T+3Q"))</f>
        <v>0</v>
      </c>
      <c r="AJ2" s="64">
        <f>SUMPRODUCT((AA!$B:$B="CA")*(AA!$I:$I="T+3Q"))</f>
        <v>0</v>
      </c>
      <c r="AK2" s="64">
        <f>SUMPRODUCT((AA!$B:$B="CB")*(AA!$I:$I="T+3Q"))</f>
        <v>0</v>
      </c>
      <c r="AL2" s="64">
        <f>SUMPRODUCT((AA!$B:$B="CC")*(AA!$I:$I="T+3Q"))</f>
        <v>0</v>
      </c>
      <c r="AM2" s="64">
        <f>SUMPRODUCT((AA!$B:$B="A")*(AA!$I:$I="T+4Q"))</f>
        <v>0</v>
      </c>
      <c r="AN2" s="64">
        <f>SUMPRODUCT((AA!$B:$B="B")*(AA!$I:$I="T+4Q"))</f>
        <v>0</v>
      </c>
      <c r="AO2" s="64">
        <f>SUMPRODUCT((AA!$B:$B="C")*(AA!$I:$I="T+4Q"))</f>
        <v>0</v>
      </c>
      <c r="AP2" s="64">
        <f>SUMPRODUCT((AA!$B:$B="CA")*(AA!$I:$I="T+4Q"))</f>
        <v>0</v>
      </c>
      <c r="AQ2" s="64">
        <f>SUMPRODUCT((AA!$B:$B="CB")*(AA!$I:$I="T+4Q"))</f>
        <v>0</v>
      </c>
      <c r="AR2" s="64">
        <f>SUMPRODUCT((AA!$B:$B="CC")*(AA!$I:$I="T+4Q"))</f>
        <v>0</v>
      </c>
    </row>
    <row r="3" ht="15" spans="1:44">
      <c r="A3" s="52" t="s">
        <v>111</v>
      </c>
      <c r="B3" s="53" t="s">
        <v>112</v>
      </c>
      <c r="C3" s="54" t="s">
        <v>113</v>
      </c>
      <c r="D3" s="54" t="s">
        <v>108</v>
      </c>
      <c r="E3" s="52">
        <f>COUNTIF(AB!$B:$B,"A")</f>
        <v>0</v>
      </c>
      <c r="F3" s="52">
        <f>COUNTIF(AB!$B:$B,"B")</f>
        <v>7</v>
      </c>
      <c r="G3" s="52">
        <f>COUNTIF(AB!$B:$B,"C")</f>
        <v>0</v>
      </c>
      <c r="H3" s="52">
        <f>COUNTIF(AB!$B:$B,"CA")</f>
        <v>0</v>
      </c>
      <c r="I3" s="52">
        <f>COUNTIF(AB!$B:$B,"CB")</f>
        <v>0</v>
      </c>
      <c r="J3" s="52">
        <f>COUNTIF(AB!$B:$B,"CC")</f>
        <v>0</v>
      </c>
      <c r="K3" s="61">
        <f>SUM($E3:$J3)</f>
        <v>7</v>
      </c>
      <c r="L3" s="64">
        <f>SUMPRODUCT((AB!$B:$B="CA")*(AB!$I:$I="NA"))</f>
        <v>0</v>
      </c>
      <c r="M3" s="64">
        <f>SUMPRODUCT((AB!$B:$B="CB")*(AB!$I:$I="NA"))</f>
        <v>0</v>
      </c>
      <c r="N3" s="64">
        <f>SUMPRODUCT((AB!$B:$B="CC")*(AB!$I:$I="NA"))</f>
        <v>0</v>
      </c>
      <c r="O3" s="64">
        <f>SUMPRODUCT((AB!$B:$B="A")*(AB!$I:$I="T"))</f>
        <v>0</v>
      </c>
      <c r="P3" s="64">
        <f>SUMPRODUCT((AB!$B:$B="B")*(AB!$I:$I="T"))</f>
        <v>0</v>
      </c>
      <c r="Q3" s="64">
        <f>SUMPRODUCT((AB!$B:$B="C")*(AB!$I:$I="T"))</f>
        <v>0</v>
      </c>
      <c r="R3" s="64">
        <f>SUMPRODUCT((AB!$B:$B="CA")*(AB!$I:$I="T"))</f>
        <v>0</v>
      </c>
      <c r="S3" s="64">
        <f>SUMPRODUCT((AB!$B:$B="CB")*(AB!$I:$I="T"))</f>
        <v>0</v>
      </c>
      <c r="T3" s="64">
        <f>SUMPRODUCT((AB!$B:$B="CC")*(AB!$I:$I="T"))</f>
        <v>0</v>
      </c>
      <c r="U3" s="64">
        <f>SUMPRODUCT((AB!$B:$B="A")*(AB!$I:$I="T+1Q"))</f>
        <v>0</v>
      </c>
      <c r="V3" s="64">
        <f>SUMPRODUCT((AB!$B:$B="B")*(AB!$I:$I="T+1Q"))</f>
        <v>0</v>
      </c>
      <c r="W3" s="64">
        <f>SUMPRODUCT((AB!$B:$B="C")*(AB!$I:$I="T+1Q"))</f>
        <v>0</v>
      </c>
      <c r="X3" s="64">
        <f>SUMPRODUCT((AB!$B:$B="CA")*(AB!$I:$I="T+1Q"))</f>
        <v>0</v>
      </c>
      <c r="Y3" s="64">
        <f>SUMPRODUCT((AB!$B:$B="CB")*(AB!$I:$I="T+1Q"))</f>
        <v>0</v>
      </c>
      <c r="Z3" s="64">
        <f>SUMPRODUCT((AB!$B:$B="CC")*(AB!$I:$I="T+1Q"))</f>
        <v>0</v>
      </c>
      <c r="AA3" s="64">
        <f>SUMPRODUCT((AB!$B:$B="A")*(AB!$I:$I="T+2Q"))</f>
        <v>0</v>
      </c>
      <c r="AB3" s="64">
        <f>SUMPRODUCT((AB!$B:$B="B")*(AB!$I:$I="T+2Q"))</f>
        <v>0</v>
      </c>
      <c r="AC3" s="64">
        <f>SUMPRODUCT((AB!$B:$B="C")*(AB!$I:$I="T+2Q"))</f>
        <v>0</v>
      </c>
      <c r="AD3" s="64">
        <f>SUMPRODUCT((AB!$B:$B="CA")*(AB!$I:$I="T+2Q"))</f>
        <v>0</v>
      </c>
      <c r="AE3" s="64">
        <f>SUMPRODUCT((AB!$B:$B="CB")*(AB!$I:$I="T+2Q"))</f>
        <v>0</v>
      </c>
      <c r="AF3" s="64">
        <f>SUMPRODUCT((AB!$B:$B="CC")*(AB!$I:$I="T+2Q"))</f>
        <v>0</v>
      </c>
      <c r="AG3" s="64">
        <f>SUMPRODUCT((AB!$B:$B="A")*(AB!$I:$I="T+3Q"))</f>
        <v>0</v>
      </c>
      <c r="AH3" s="64">
        <f>SUMPRODUCT((AB!$B:$B="B")*(AB!$I:$I="T+3Q"))</f>
        <v>0</v>
      </c>
      <c r="AI3" s="64">
        <f>SUMPRODUCT((AB!$B:$B="C")*(AB!$I:$I="T+3Q"))</f>
        <v>0</v>
      </c>
      <c r="AJ3" s="64">
        <f>SUMPRODUCT((AB!$B:$B="CA")*(AB!$I:$I="T+3Q"))</f>
        <v>0</v>
      </c>
      <c r="AK3" s="64">
        <f>SUMPRODUCT((AB!$B:$B="CB")*(AB!$I:$I="T+3Q"))</f>
        <v>0</v>
      </c>
      <c r="AL3" s="64">
        <f>SUMPRODUCT((AB!$B:$B="CC")*(AB!$I:$I="T+3Q"))</f>
        <v>0</v>
      </c>
      <c r="AM3" s="64">
        <f>SUMPRODUCT((AB!$B:$B="A")*(AB!$I:$I="T+4Q"))</f>
        <v>0</v>
      </c>
      <c r="AN3" s="64">
        <f>SUMPRODUCT((AB!$B:$B="B")*(AB!$I:$I="T+4Q"))</f>
        <v>0</v>
      </c>
      <c r="AO3" s="64">
        <f>SUMPRODUCT((AB!$B:$B="C")*(AB!$I:$I="T+4Q"))</f>
        <v>0</v>
      </c>
      <c r="AP3" s="64">
        <f>SUMPRODUCT((AB!$B:$B="CA")*(AB!$I:$I="T+4Q"))</f>
        <v>0</v>
      </c>
      <c r="AQ3" s="64">
        <f>SUMPRODUCT((AB!$B:$B="CB")*(AB!$I:$I="T+4Q"))</f>
        <v>0</v>
      </c>
      <c r="AR3" s="64">
        <f>SUMPRODUCT((AB!$B:$B="CC")*(AB!$I:$I="T+4Q"))</f>
        <v>0</v>
      </c>
    </row>
    <row r="4" s="49" customFormat="1" ht="15" spans="1:44">
      <c r="A4" s="52" t="s">
        <v>114</v>
      </c>
      <c r="B4" s="53" t="s">
        <v>115</v>
      </c>
      <c r="C4" s="56" t="s">
        <v>116</v>
      </c>
      <c r="D4" s="54" t="s">
        <v>108</v>
      </c>
      <c r="E4" s="52">
        <f>COUNTIF(AC!$B:$B,"A")</f>
        <v>1</v>
      </c>
      <c r="F4" s="52">
        <f>COUNTIF(AC!$B:$B,"B")</f>
        <v>4</v>
      </c>
      <c r="G4" s="52">
        <f>COUNTIF(AC!$B:$B,"C")</f>
        <v>0</v>
      </c>
      <c r="H4" s="52">
        <f>COUNTIF(AC!$B:$B,"CA")</f>
        <v>0</v>
      </c>
      <c r="I4" s="52">
        <f>COUNTIF(AC!$B:$B,"CB")</f>
        <v>0</v>
      </c>
      <c r="J4" s="52">
        <f>COUNTIF(AC!$B:$B,"CC")</f>
        <v>0</v>
      </c>
      <c r="K4" s="61">
        <f>SUM($E4:$J4)</f>
        <v>5</v>
      </c>
      <c r="L4" s="64">
        <f>SUMPRODUCT((AC!$B:$B="CA")*(AC!$I:$I="NA"))</f>
        <v>0</v>
      </c>
      <c r="M4" s="64">
        <f>SUMPRODUCT((AC!$B:$B="CB")*(AC!$I:$I="NA"))</f>
        <v>0</v>
      </c>
      <c r="N4" s="64">
        <f>SUMPRODUCT((AC!$B:$B="CC")*(AC!$I:$I="NA"))</f>
        <v>0</v>
      </c>
      <c r="O4" s="64">
        <f>SUMPRODUCT((AC!$B:$B="A")*(AC!$I:$I="T"))</f>
        <v>0</v>
      </c>
      <c r="P4" s="64">
        <f>SUMPRODUCT((AC!$B:$B="B")*(AC!$I:$I="T"))</f>
        <v>0</v>
      </c>
      <c r="Q4" s="64">
        <f>SUMPRODUCT((AC!$B:$B="C")*(AC!$I:$I="T"))</f>
        <v>0</v>
      </c>
      <c r="R4" s="64">
        <f>SUMPRODUCT((AC!$B:$B="CA")*(AC!$I:$I="T"))</f>
        <v>0</v>
      </c>
      <c r="S4" s="64">
        <f>SUMPRODUCT((AC!$B:$B="CB")*(AC!$I:$I="T"))</f>
        <v>0</v>
      </c>
      <c r="T4" s="64">
        <f>SUMPRODUCT((AC!$B:$B="CC")*(AC!$I:$I="T"))</f>
        <v>0</v>
      </c>
      <c r="U4" s="64">
        <f>SUMPRODUCT((AC!$B:$B="A")*(AC!$I:$I="T+1Q"))</f>
        <v>0</v>
      </c>
      <c r="V4" s="64">
        <f>SUMPRODUCT((AC!$B:$B="B")*(AC!$I:$I="T+1Q"))</f>
        <v>0</v>
      </c>
      <c r="W4" s="64">
        <f>SUMPRODUCT((AC!$B:$B="C")*(AC!$I:$I="T+1Q"))</f>
        <v>0</v>
      </c>
      <c r="X4" s="64">
        <f>SUMPRODUCT((AC!$B:$B="CA")*(AC!$I:$I="T+1Q"))</f>
        <v>0</v>
      </c>
      <c r="Y4" s="64">
        <f>SUMPRODUCT((AC!$B:$B="CB")*(AC!$I:$I="T+1Q"))</f>
        <v>0</v>
      </c>
      <c r="Z4" s="64">
        <f>SUMPRODUCT((AC!$B:$B="CC")*(AC!$I:$I="T+1Q"))</f>
        <v>0</v>
      </c>
      <c r="AA4" s="64">
        <f>SUMPRODUCT((AC!$B:$B="A")*(AC!$I:$I="T+2Q"))</f>
        <v>0</v>
      </c>
      <c r="AB4" s="64">
        <f>SUMPRODUCT((AC!$B:$B="B")*(AC!$I:$I="T+2Q"))</f>
        <v>0</v>
      </c>
      <c r="AC4" s="64">
        <f>SUMPRODUCT((AC!$B:$B="C")*(AC!$I:$I="T+2Q"))</f>
        <v>0</v>
      </c>
      <c r="AD4" s="64">
        <f>SUMPRODUCT((AC!$B:$B="CA")*(AC!$I:$I="T+2Q"))</f>
        <v>0</v>
      </c>
      <c r="AE4" s="64">
        <f>SUMPRODUCT((AC!$B:$B="CB")*(AC!$I:$I="T+2Q"))</f>
        <v>0</v>
      </c>
      <c r="AF4" s="64">
        <f>SUMPRODUCT((AC!$B:$B="CC")*(AC!$I:$I="T+2Q"))</f>
        <v>0</v>
      </c>
      <c r="AG4" s="64">
        <f>SUMPRODUCT((AC!$B:$B="A")*(AC!$I:$I="T+3Q"))</f>
        <v>0</v>
      </c>
      <c r="AH4" s="64">
        <f>SUMPRODUCT((AC!$B:$B="B")*(AC!$I:$I="T+3Q"))</f>
        <v>0</v>
      </c>
      <c r="AI4" s="64">
        <f>SUMPRODUCT((AC!$B:$B="C")*(AC!$I:$I="T+3Q"))</f>
        <v>0</v>
      </c>
      <c r="AJ4" s="64">
        <f>SUMPRODUCT((AC!$B:$B="CA")*(AC!$I:$I="T+3Q"))</f>
        <v>0</v>
      </c>
      <c r="AK4" s="64">
        <f>SUMPRODUCT((AC!$B:$B="CB")*(AC!$I:$I="T+3Q"))</f>
        <v>0</v>
      </c>
      <c r="AL4" s="64">
        <f>SUMPRODUCT((AC!$B:$B="CC")*(AC!$I:$I="T+3Q"))</f>
        <v>0</v>
      </c>
      <c r="AM4" s="64">
        <f>SUMPRODUCT((AC!$B:$B="A")*(AC!$I:$I="T+4Q"))</f>
        <v>0</v>
      </c>
      <c r="AN4" s="64">
        <f>SUMPRODUCT((AC!$B:$B="B")*(AC!$I:$I="T+4Q"))</f>
        <v>0</v>
      </c>
      <c r="AO4" s="64">
        <f>SUMPRODUCT((AC!$B:$B="C")*(AC!$I:$I="T+4Q"))</f>
        <v>0</v>
      </c>
      <c r="AP4" s="64">
        <f>SUMPRODUCT((AC!$B:$B="CA")*(AC!$I:$I="T+4Q"))</f>
        <v>0</v>
      </c>
      <c r="AQ4" s="64">
        <f>SUMPRODUCT((AC!$B:$B="CB")*(AC!$I:$I="T+4Q"))</f>
        <v>0</v>
      </c>
      <c r="AR4" s="64">
        <f>SUMPRODUCT((AC!$B:$B="CC")*(AC!$I:$I="T+4Q"))</f>
        <v>0</v>
      </c>
    </row>
    <row r="5" s="49" customFormat="1" ht="15" spans="1:44">
      <c r="A5" s="57" t="s">
        <v>117</v>
      </c>
      <c r="B5" s="58" t="s">
        <v>118</v>
      </c>
      <c r="C5" s="59" t="s">
        <v>119</v>
      </c>
      <c r="D5" s="60" t="s">
        <v>108</v>
      </c>
      <c r="E5" s="57">
        <f>COUNTIF(AD!$B:$B,"A")</f>
        <v>0</v>
      </c>
      <c r="F5" s="57">
        <f>COUNTIF(AD!$B:$B,"B")</f>
        <v>5</v>
      </c>
      <c r="G5" s="57">
        <f>COUNTIF(AD!$B:$B,"C")</f>
        <v>0</v>
      </c>
      <c r="H5" s="57">
        <f>COUNTIF(AD!$B:$B,"CA")</f>
        <v>0</v>
      </c>
      <c r="I5" s="57">
        <f>COUNTIF(AD!$B:$B,"CB")</f>
        <v>0</v>
      </c>
      <c r="J5" s="57">
        <f>COUNTIF(AD!$B:$B,"CC")</f>
        <v>0</v>
      </c>
      <c r="K5" s="65">
        <f>SUM($E5:$J5)</f>
        <v>5</v>
      </c>
      <c r="L5" s="64">
        <f>SUMPRODUCT((AD!$B:$B="CA")*(AD!$I:$I="NA"))</f>
        <v>0</v>
      </c>
      <c r="M5" s="64">
        <f>SUMPRODUCT((AD!$B:$B="CB")*(AD!$I:$I="NA"))</f>
        <v>0</v>
      </c>
      <c r="N5" s="64">
        <f>SUMPRODUCT((AD!$B:$B="CC")*(AD!$I:$I="NA"))</f>
        <v>0</v>
      </c>
      <c r="O5" s="64">
        <f>SUMPRODUCT((AD!$B:$B="A")*(AD!$I:$I="T"))</f>
        <v>0</v>
      </c>
      <c r="P5" s="64">
        <f>SUMPRODUCT((AD!$B:$B="B")*(AD!$I:$I="T"))</f>
        <v>0</v>
      </c>
      <c r="Q5" s="64">
        <f>SUMPRODUCT((AD!$B:$B="C")*(AD!$I:$I="T"))</f>
        <v>0</v>
      </c>
      <c r="R5" s="64">
        <f>SUMPRODUCT((AD!$B:$B="CA")*(AD!$I:$I="T"))</f>
        <v>0</v>
      </c>
      <c r="S5" s="64">
        <f>SUMPRODUCT((AD!$B:$B="CB")*(AD!$I:$I="T"))</f>
        <v>0</v>
      </c>
      <c r="T5" s="64">
        <f>SUMPRODUCT((AD!$B:$B="CC")*(AD!$I:$I="T"))</f>
        <v>0</v>
      </c>
      <c r="U5" s="64">
        <f>SUMPRODUCT((AD!$B:$B="A")*(AD!$I:$I="T+1Q"))</f>
        <v>0</v>
      </c>
      <c r="V5" s="64">
        <f>SUMPRODUCT((AD!$B:$B="B")*(AD!$I:$I="T+1Q"))</f>
        <v>0</v>
      </c>
      <c r="W5" s="64">
        <f>SUMPRODUCT((AD!$B:$B="C")*(AD!$I:$I="T+1Q"))</f>
        <v>0</v>
      </c>
      <c r="X5" s="64">
        <f>SUMPRODUCT((AD!$B:$B="CA")*(AD!$I:$I="T+1Q"))</f>
        <v>0</v>
      </c>
      <c r="Y5" s="64">
        <f>SUMPRODUCT((AD!$B:$B="CB")*(AD!$I:$I="T+1Q"))</f>
        <v>0</v>
      </c>
      <c r="Z5" s="64">
        <f>SUMPRODUCT((AD!$B:$B="CC")*(AD!$I:$I="T+1Q"))</f>
        <v>0</v>
      </c>
      <c r="AA5" s="64">
        <f>SUMPRODUCT((AD!$B:$B="A")*(AD!$I:$I="T+2Q"))</f>
        <v>0</v>
      </c>
      <c r="AB5" s="64">
        <f>SUMPRODUCT((AD!$B:$B="B")*(AD!$I:$I="T+2Q"))</f>
        <v>0</v>
      </c>
      <c r="AC5" s="64">
        <f>SUMPRODUCT((AD!$B:$B="C")*(AD!$I:$I="T+2Q"))</f>
        <v>0</v>
      </c>
      <c r="AD5" s="64">
        <f>SUMPRODUCT((AD!$B:$B="CA")*(AD!$I:$I="T+2Q"))</f>
        <v>0</v>
      </c>
      <c r="AE5" s="64">
        <f>SUMPRODUCT((AD!$B:$B="CB")*(AD!$I:$I="T+2Q"))</f>
        <v>0</v>
      </c>
      <c r="AF5" s="64">
        <f>SUMPRODUCT((AD!$B:$B="CC")*(AD!$I:$I="T+2Q"))</f>
        <v>0</v>
      </c>
      <c r="AG5" s="64">
        <f>SUMPRODUCT((AD!$B:$B="A")*(AD!$I:$I="T+3Q"))</f>
        <v>0</v>
      </c>
      <c r="AH5" s="64">
        <f>SUMPRODUCT((AD!$B:$B="B")*(AD!$I:$I="T+3Q"))</f>
        <v>0</v>
      </c>
      <c r="AI5" s="64">
        <f>SUMPRODUCT((AD!$B:$B="C")*(AD!$I:$I="T+3Q"))</f>
        <v>0</v>
      </c>
      <c r="AJ5" s="64">
        <f>SUMPRODUCT((AD!$B:$B="CA")*(AD!$I:$I="T+3Q"))</f>
        <v>0</v>
      </c>
      <c r="AK5" s="64">
        <f>SUMPRODUCT((AD!$B:$B="CB")*(AD!$I:$I="T+3Q"))</f>
        <v>0</v>
      </c>
      <c r="AL5" s="64">
        <f>SUMPRODUCT((AD!$B:$B="CC")*(AD!$I:$I="T+3Q"))</f>
        <v>0</v>
      </c>
      <c r="AM5" s="64">
        <f>SUMPRODUCT((AD!$B:$B="A")*(AD!$I:$I="T+4Q"))</f>
        <v>0</v>
      </c>
      <c r="AN5" s="64">
        <f>SUMPRODUCT((AD!$B:$B="B")*(AD!$I:$I="T+4Q"))</f>
        <v>0</v>
      </c>
      <c r="AO5" s="64">
        <f>SUMPRODUCT((AD!$B:$B="C")*(AD!$I:$I="T+4Q"))</f>
        <v>0</v>
      </c>
      <c r="AP5" s="64">
        <f>SUMPRODUCT((AD!$B:$B="CA")*(AD!$I:$I="T+4Q"))</f>
        <v>0</v>
      </c>
      <c r="AQ5" s="64">
        <f>SUMPRODUCT((AD!$B:$B="CB")*(AD!$I:$I="T+4Q"))</f>
        <v>0</v>
      </c>
      <c r="AR5" s="64">
        <f>SUMPRODUCT((AD!$B:$B="CC")*(AD!$I:$I="T+4Q"))</f>
        <v>0</v>
      </c>
    </row>
    <row r="6" spans="1:44">
      <c r="A6" s="61" t="s">
        <v>120</v>
      </c>
      <c r="B6" s="61"/>
      <c r="C6" s="61"/>
      <c r="D6" s="61"/>
      <c r="E6" s="61">
        <f t="shared" ref="E6:O6" si="0">SUM(E2:E5)</f>
        <v>2</v>
      </c>
      <c r="F6" s="61">
        <f t="shared" si="0"/>
        <v>24</v>
      </c>
      <c r="G6" s="61">
        <f t="shared" si="0"/>
        <v>0</v>
      </c>
      <c r="H6" s="61">
        <f t="shared" si="0"/>
        <v>0</v>
      </c>
      <c r="I6" s="61">
        <f t="shared" si="0"/>
        <v>0</v>
      </c>
      <c r="J6" s="61">
        <f t="shared" si="0"/>
        <v>0</v>
      </c>
      <c r="K6" s="61">
        <f t="shared" si="0"/>
        <v>26</v>
      </c>
      <c r="L6" s="62">
        <f t="shared" si="0"/>
        <v>0</v>
      </c>
      <c r="M6" s="62">
        <f t="shared" si="0"/>
        <v>0</v>
      </c>
      <c r="N6" s="62">
        <f t="shared" si="0"/>
        <v>0</v>
      </c>
      <c r="O6" s="63">
        <f t="shared" si="0"/>
        <v>0</v>
      </c>
      <c r="P6" s="63">
        <f t="shared" ref="P6:U6" si="1">SUM(P2:P5)</f>
        <v>0</v>
      </c>
      <c r="Q6" s="63">
        <f t="shared" si="1"/>
        <v>0</v>
      </c>
      <c r="R6" s="63">
        <f t="shared" si="1"/>
        <v>0</v>
      </c>
      <c r="S6" s="63">
        <f t="shared" si="1"/>
        <v>0</v>
      </c>
      <c r="T6" s="63">
        <f t="shared" si="1"/>
        <v>0</v>
      </c>
      <c r="U6" s="62">
        <f t="shared" si="1"/>
        <v>0</v>
      </c>
      <c r="V6" s="62">
        <f t="shared" ref="V6:AA6" si="2">SUM(V2:V5)</f>
        <v>0</v>
      </c>
      <c r="W6" s="62">
        <f t="shared" si="2"/>
        <v>0</v>
      </c>
      <c r="X6" s="62">
        <f t="shared" si="2"/>
        <v>0</v>
      </c>
      <c r="Y6" s="62">
        <f t="shared" si="2"/>
        <v>0</v>
      </c>
      <c r="Z6" s="62">
        <f t="shared" si="2"/>
        <v>0</v>
      </c>
      <c r="AA6" s="63">
        <f t="shared" si="2"/>
        <v>0</v>
      </c>
      <c r="AB6" s="63">
        <f t="shared" ref="AB6:AG6" si="3">SUM(AB2:AB5)</f>
        <v>0</v>
      </c>
      <c r="AC6" s="63">
        <f t="shared" si="3"/>
        <v>0</v>
      </c>
      <c r="AD6" s="63">
        <f t="shared" si="3"/>
        <v>0</v>
      </c>
      <c r="AE6" s="63">
        <f t="shared" si="3"/>
        <v>0</v>
      </c>
      <c r="AF6" s="63">
        <f t="shared" si="3"/>
        <v>0</v>
      </c>
      <c r="AG6" s="62">
        <f t="shared" si="3"/>
        <v>0</v>
      </c>
      <c r="AH6" s="62">
        <f t="shared" ref="AH6:AM6" si="4">SUM(AH2:AH5)</f>
        <v>0</v>
      </c>
      <c r="AI6" s="62">
        <f t="shared" si="4"/>
        <v>0</v>
      </c>
      <c r="AJ6" s="62">
        <f t="shared" si="4"/>
        <v>0</v>
      </c>
      <c r="AK6" s="62">
        <f t="shared" si="4"/>
        <v>0</v>
      </c>
      <c r="AL6" s="62">
        <f t="shared" si="4"/>
        <v>0</v>
      </c>
      <c r="AM6" s="63">
        <f t="shared" si="4"/>
        <v>0</v>
      </c>
      <c r="AN6" s="63">
        <f t="shared" ref="AN6:AR6" si="5">SUM(AN2:AN5)</f>
        <v>0</v>
      </c>
      <c r="AO6" s="63">
        <f t="shared" si="5"/>
        <v>0</v>
      </c>
      <c r="AP6" s="63">
        <f t="shared" si="5"/>
        <v>0</v>
      </c>
      <c r="AQ6" s="63">
        <f t="shared" si="5"/>
        <v>0</v>
      </c>
      <c r="AR6" s="63">
        <f t="shared" si="5"/>
        <v>0</v>
      </c>
    </row>
  </sheetData>
  <mergeCells count="1">
    <mergeCell ref="A6:D6"/>
  </mergeCells>
  <pageMargins left="0.75" right="0.75" top="1" bottom="1" header="0.5" footer="0.5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I9" sqref="I9:I10"/>
    </sheetView>
  </sheetViews>
  <sheetFormatPr defaultColWidth="9" defaultRowHeight="12" customHeight="1"/>
  <cols>
    <col min="1" max="1" width="8.58333333333333" customWidth="1"/>
    <col min="3" max="3" width="19.0833333333333" customWidth="1"/>
    <col min="4" max="4" width="10.8333333333333" customWidth="1"/>
    <col min="5" max="5" width="43.3333333333333" customWidth="1"/>
    <col min="6" max="6" width="9.83333333333333" customWidth="1"/>
    <col min="7" max="7" width="5" customWidth="1"/>
    <col min="8" max="8" width="11.6666666666667" customWidth="1"/>
  </cols>
  <sheetData>
    <row r="1" ht="13" spans="1:9">
      <c r="A1" s="44" t="s">
        <v>121</v>
      </c>
      <c r="B1" s="44" t="s">
        <v>122</v>
      </c>
      <c r="C1" s="44" t="s">
        <v>123</v>
      </c>
      <c r="D1" s="45" t="s">
        <v>124</v>
      </c>
      <c r="E1" s="45" t="s">
        <v>125</v>
      </c>
      <c r="F1" s="46" t="s">
        <v>126</v>
      </c>
      <c r="G1" s="45" t="s">
        <v>127</v>
      </c>
      <c r="H1" s="44" t="s">
        <v>128</v>
      </c>
      <c r="I1" s="20" t="s">
        <v>129</v>
      </c>
    </row>
    <row r="2" ht="15" spans="1:9">
      <c r="A2" s="25" t="s">
        <v>130</v>
      </c>
      <c r="B2" s="25" t="s">
        <v>131</v>
      </c>
      <c r="C2" s="26" t="s">
        <v>132</v>
      </c>
      <c r="D2" s="26" t="s">
        <v>133</v>
      </c>
      <c r="E2" s="26" t="s">
        <v>134</v>
      </c>
      <c r="F2" s="26" t="s">
        <v>135</v>
      </c>
      <c r="G2" s="27"/>
      <c r="H2" s="26" t="s">
        <v>136</v>
      </c>
      <c r="I2" s="21"/>
    </row>
    <row r="3" ht="15" spans="1:9">
      <c r="A3" s="25" t="s">
        <v>137</v>
      </c>
      <c r="B3" s="25" t="s">
        <v>131</v>
      </c>
      <c r="C3" s="26" t="s">
        <v>138</v>
      </c>
      <c r="D3" s="26" t="s">
        <v>139</v>
      </c>
      <c r="E3" s="26" t="s">
        <v>140</v>
      </c>
      <c r="F3" s="26" t="s">
        <v>135</v>
      </c>
      <c r="G3" s="27"/>
      <c r="H3" s="26" t="s">
        <v>136</v>
      </c>
      <c r="I3" s="21"/>
    </row>
    <row r="4" ht="15" spans="1:9">
      <c r="A4" s="25" t="s">
        <v>141</v>
      </c>
      <c r="B4" s="25" t="s">
        <v>131</v>
      </c>
      <c r="C4" s="26" t="s">
        <v>142</v>
      </c>
      <c r="D4" s="26" t="s">
        <v>143</v>
      </c>
      <c r="E4" s="26" t="s">
        <v>143</v>
      </c>
      <c r="F4" s="26" t="s">
        <v>135</v>
      </c>
      <c r="G4" s="26"/>
      <c r="H4" s="40"/>
      <c r="I4" s="21"/>
    </row>
    <row r="5" ht="15" spans="1:9">
      <c r="A5" s="25" t="s">
        <v>144</v>
      </c>
      <c r="B5" s="25" t="s">
        <v>131</v>
      </c>
      <c r="C5" s="26" t="s">
        <v>145</v>
      </c>
      <c r="D5" s="26" t="s">
        <v>146</v>
      </c>
      <c r="E5" s="28" t="s">
        <v>147</v>
      </c>
      <c r="F5" s="26" t="s">
        <v>135</v>
      </c>
      <c r="G5" s="26"/>
      <c r="H5" s="40"/>
      <c r="I5" s="21"/>
    </row>
    <row r="6" ht="26" spans="1:9">
      <c r="A6" s="25" t="s">
        <v>148</v>
      </c>
      <c r="B6" s="47" t="s">
        <v>131</v>
      </c>
      <c r="C6" s="26" t="s">
        <v>149</v>
      </c>
      <c r="D6" s="26" t="s">
        <v>150</v>
      </c>
      <c r="E6" s="26" t="s">
        <v>150</v>
      </c>
      <c r="F6" s="26" t="s">
        <v>151</v>
      </c>
      <c r="G6" s="26"/>
      <c r="H6" s="48"/>
      <c r="I6" s="21"/>
    </row>
    <row r="7" ht="15" spans="1:9">
      <c r="A7" s="25" t="s">
        <v>152</v>
      </c>
      <c r="B7" s="25" t="s">
        <v>153</v>
      </c>
      <c r="C7" s="26" t="s">
        <v>154</v>
      </c>
      <c r="D7" s="26" t="s">
        <v>155</v>
      </c>
      <c r="E7" s="26" t="s">
        <v>156</v>
      </c>
      <c r="F7" s="26" t="s">
        <v>135</v>
      </c>
      <c r="G7" s="26"/>
      <c r="H7" s="40"/>
      <c r="I7" s="21"/>
    </row>
    <row r="8" ht="15" spans="1:9">
      <c r="A8" s="25" t="s">
        <v>157</v>
      </c>
      <c r="B8" s="47" t="s">
        <v>131</v>
      </c>
      <c r="C8" s="26" t="s">
        <v>158</v>
      </c>
      <c r="D8" s="26" t="s">
        <v>159</v>
      </c>
      <c r="E8" s="26" t="s">
        <v>160</v>
      </c>
      <c r="F8" s="26" t="s">
        <v>151</v>
      </c>
      <c r="G8" s="26"/>
      <c r="H8" s="48"/>
      <c r="I8" s="21"/>
    </row>
    <row r="9" ht="26" spans="1:9">
      <c r="A9" s="25" t="s">
        <v>161</v>
      </c>
      <c r="B9" s="47" t="s">
        <v>131</v>
      </c>
      <c r="C9" s="26" t="s">
        <v>162</v>
      </c>
      <c r="D9" s="26" t="s">
        <v>163</v>
      </c>
      <c r="E9" s="26" t="s">
        <v>164</v>
      </c>
      <c r="F9" s="26" t="s">
        <v>165</v>
      </c>
      <c r="G9" s="26"/>
      <c r="H9" s="28"/>
      <c r="I9" s="21"/>
    </row>
    <row r="10" ht="15" spans="1:9">
      <c r="A10" s="25" t="s">
        <v>166</v>
      </c>
      <c r="B10" s="47" t="s">
        <v>131</v>
      </c>
      <c r="C10" s="26" t="s">
        <v>167</v>
      </c>
      <c r="D10" s="26" t="s">
        <v>168</v>
      </c>
      <c r="E10" s="26" t="s">
        <v>169</v>
      </c>
      <c r="F10" s="26" t="s">
        <v>165</v>
      </c>
      <c r="G10" s="26"/>
      <c r="H10" s="28"/>
      <c r="I10" s="21"/>
    </row>
  </sheetData>
  <dataValidations count="1">
    <dataValidation type="list" allowBlank="1" showErrorMessage="1" sqref="I2:I10">
      <formula1>"T,T+1Q,T+2Q,T+3Q,T+4Q,NS,NA"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opLeftCell="A3" workbookViewId="0">
      <selection activeCell="D26" sqref="D26"/>
    </sheetView>
  </sheetViews>
  <sheetFormatPr defaultColWidth="9" defaultRowHeight="13" outlineLevelRow="7"/>
  <cols>
    <col min="1" max="1" width="7.58333333333333" style="34" customWidth="1"/>
    <col min="2" max="2" width="5.83333333333333" style="34" customWidth="1"/>
    <col min="3" max="3" width="16.1666666666667" style="34" customWidth="1"/>
    <col min="4" max="4" width="20.0833333333333" style="34" customWidth="1"/>
    <col min="5" max="5" width="66.3333333333333" style="34" customWidth="1"/>
    <col min="6" max="6" width="8.66666666666667" style="34" customWidth="1"/>
    <col min="7" max="7" width="4.83333333333333" style="34" customWidth="1"/>
    <col min="8" max="8" width="4.08333333333333" style="34" customWidth="1"/>
    <col min="9" max="16384" width="9" style="34"/>
  </cols>
  <sheetData>
    <row r="1" spans="1:9">
      <c r="A1" s="22" t="s">
        <v>121</v>
      </c>
      <c r="B1" s="22" t="s">
        <v>122</v>
      </c>
      <c r="C1" s="22" t="s">
        <v>123</v>
      </c>
      <c r="D1" s="23" t="s">
        <v>124</v>
      </c>
      <c r="E1" s="23" t="s">
        <v>125</v>
      </c>
      <c r="F1" s="22" t="s">
        <v>126</v>
      </c>
      <c r="G1" s="23" t="s">
        <v>127</v>
      </c>
      <c r="H1" s="22" t="s">
        <v>128</v>
      </c>
      <c r="I1" s="20" t="s">
        <v>129</v>
      </c>
    </row>
    <row r="2" s="31" customFormat="1" ht="15" spans="1:9">
      <c r="A2" s="35" t="s">
        <v>170</v>
      </c>
      <c r="B2" s="25" t="s">
        <v>131</v>
      </c>
      <c r="C2" s="26" t="s">
        <v>132</v>
      </c>
      <c r="D2" s="36" t="s">
        <v>133</v>
      </c>
      <c r="E2" s="26" t="s">
        <v>171</v>
      </c>
      <c r="F2" s="28" t="s">
        <v>135</v>
      </c>
      <c r="G2" s="35"/>
      <c r="H2" s="35"/>
      <c r="I2" s="21"/>
    </row>
    <row r="3" s="31" customFormat="1" ht="15" spans="1:9">
      <c r="A3" s="35" t="s">
        <v>172</v>
      </c>
      <c r="B3" s="25" t="s">
        <v>131</v>
      </c>
      <c r="C3" s="28" t="s">
        <v>138</v>
      </c>
      <c r="D3" s="28" t="s">
        <v>139</v>
      </c>
      <c r="E3" s="26" t="s">
        <v>173</v>
      </c>
      <c r="F3" s="28" t="s">
        <v>135</v>
      </c>
      <c r="G3" s="37"/>
      <c r="H3" s="37"/>
      <c r="I3" s="21"/>
    </row>
    <row r="4" s="31" customFormat="1" ht="26" spans="1:9">
      <c r="A4" s="35" t="s">
        <v>174</v>
      </c>
      <c r="B4" s="25" t="s">
        <v>131</v>
      </c>
      <c r="C4" s="38" t="s">
        <v>162</v>
      </c>
      <c r="D4" s="26" t="s">
        <v>163</v>
      </c>
      <c r="E4" s="26" t="s">
        <v>164</v>
      </c>
      <c r="F4" s="38" t="s">
        <v>165</v>
      </c>
      <c r="G4" s="35"/>
      <c r="H4" s="35"/>
      <c r="I4" s="21"/>
    </row>
    <row r="5" s="31" customFormat="1" ht="15" spans="1:9">
      <c r="A5" s="35" t="s">
        <v>175</v>
      </c>
      <c r="B5" s="25" t="s">
        <v>131</v>
      </c>
      <c r="C5" s="38" t="s">
        <v>167</v>
      </c>
      <c r="D5" s="26" t="s">
        <v>168</v>
      </c>
      <c r="E5" s="26" t="s">
        <v>169</v>
      </c>
      <c r="F5" s="38" t="s">
        <v>165</v>
      </c>
      <c r="G5" s="37"/>
      <c r="H5" s="37"/>
      <c r="I5" s="21"/>
    </row>
    <row r="6" s="32" customFormat="1" ht="15" spans="1:9">
      <c r="A6" s="35" t="s">
        <v>176</v>
      </c>
      <c r="B6" s="25" t="s">
        <v>131</v>
      </c>
      <c r="C6" s="26" t="s">
        <v>177</v>
      </c>
      <c r="D6" s="26" t="s">
        <v>178</v>
      </c>
      <c r="E6" s="26" t="s">
        <v>179</v>
      </c>
      <c r="F6" s="39" t="s">
        <v>135</v>
      </c>
      <c r="G6" s="40"/>
      <c r="H6" s="41"/>
      <c r="I6" s="21"/>
    </row>
    <row r="7" s="33" customFormat="1" ht="15" spans="1:9">
      <c r="A7" s="35" t="s">
        <v>176</v>
      </c>
      <c r="B7" s="25" t="s">
        <v>131</v>
      </c>
      <c r="C7" s="42" t="s">
        <v>180</v>
      </c>
      <c r="D7" s="42" t="s">
        <v>181</v>
      </c>
      <c r="E7" s="26" t="s">
        <v>182</v>
      </c>
      <c r="F7" s="37" t="s">
        <v>135</v>
      </c>
      <c r="G7" s="35"/>
      <c r="H7" s="35"/>
      <c r="I7" s="21"/>
    </row>
    <row r="8" s="33" customFormat="1" ht="26" spans="1:9">
      <c r="A8" s="35" t="s">
        <v>183</v>
      </c>
      <c r="B8" s="25" t="s">
        <v>131</v>
      </c>
      <c r="C8" s="42" t="s">
        <v>184</v>
      </c>
      <c r="D8" s="42" t="s">
        <v>185</v>
      </c>
      <c r="E8" s="43" t="s">
        <v>186</v>
      </c>
      <c r="F8" s="37" t="s">
        <v>151</v>
      </c>
      <c r="G8" s="35"/>
      <c r="H8" s="35"/>
      <c r="I8" s="21"/>
    </row>
  </sheetData>
  <dataValidations count="1">
    <dataValidation type="list" allowBlank="1" showErrorMessage="1" sqref="I2:I8">
      <formula1>"T,T+1Q,T+2Q,T+3Q,T+4Q,NS,NA"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opLeftCell="D1" workbookViewId="0">
      <selection activeCell="I2" sqref="I2:I6"/>
    </sheetView>
  </sheetViews>
  <sheetFormatPr defaultColWidth="16.6666666666667" defaultRowHeight="15" outlineLevelRow="5"/>
  <cols>
    <col min="1" max="1" width="8.5" customWidth="1"/>
    <col min="2" max="2" width="5.83333333333333" customWidth="1"/>
    <col min="3" max="3" width="19.1666666666667" customWidth="1"/>
    <col min="4" max="4" width="15.8333333333333" customWidth="1"/>
    <col min="5" max="5" width="71.0833333333333" customWidth="1"/>
    <col min="6" max="6" width="8.5" customWidth="1"/>
    <col min="7" max="7" width="5" customWidth="1"/>
    <col min="8" max="8" width="21.5" customWidth="1"/>
    <col min="9" max="16383" width="16.6666666666667" customWidth="1"/>
  </cols>
  <sheetData>
    <row r="1" spans="1:9">
      <c r="A1" s="22" t="s">
        <v>121</v>
      </c>
      <c r="B1" s="22" t="s">
        <v>122</v>
      </c>
      <c r="C1" s="22" t="s">
        <v>123</v>
      </c>
      <c r="D1" s="23" t="s">
        <v>124</v>
      </c>
      <c r="E1" s="23" t="s">
        <v>125</v>
      </c>
      <c r="F1" s="22" t="s">
        <v>126</v>
      </c>
      <c r="G1" s="23" t="s">
        <v>127</v>
      </c>
      <c r="H1" s="22" t="s">
        <v>128</v>
      </c>
      <c r="I1" s="20" t="s">
        <v>129</v>
      </c>
    </row>
    <row r="2" spans="1:9">
      <c r="A2" s="24" t="s">
        <v>187</v>
      </c>
      <c r="B2" s="25" t="s">
        <v>131</v>
      </c>
      <c r="C2" s="26" t="s">
        <v>132</v>
      </c>
      <c r="D2" s="26" t="s">
        <v>133</v>
      </c>
      <c r="E2" s="26" t="s">
        <v>188</v>
      </c>
      <c r="F2" s="26" t="s">
        <v>135</v>
      </c>
      <c r="G2" s="27"/>
      <c r="H2" s="27" t="s">
        <v>136</v>
      </c>
      <c r="I2" s="21"/>
    </row>
    <row r="3" ht="26" spans="1:9">
      <c r="A3" s="24" t="s">
        <v>189</v>
      </c>
      <c r="B3" s="25" t="s">
        <v>131</v>
      </c>
      <c r="C3" s="26" t="s">
        <v>138</v>
      </c>
      <c r="D3" s="26" t="s">
        <v>139</v>
      </c>
      <c r="E3" s="26" t="s">
        <v>190</v>
      </c>
      <c r="F3" s="26" t="s">
        <v>135</v>
      </c>
      <c r="G3" s="27"/>
      <c r="H3" s="27" t="s">
        <v>136</v>
      </c>
      <c r="I3" s="21"/>
    </row>
    <row r="4" spans="1:9">
      <c r="A4" s="24" t="s">
        <v>191</v>
      </c>
      <c r="B4" s="25" t="s">
        <v>131</v>
      </c>
      <c r="C4" s="26" t="s">
        <v>162</v>
      </c>
      <c r="D4" s="26" t="s">
        <v>163</v>
      </c>
      <c r="E4" s="28" t="s">
        <v>192</v>
      </c>
      <c r="F4" s="26" t="s">
        <v>165</v>
      </c>
      <c r="G4" s="27"/>
      <c r="H4" s="27" t="s">
        <v>193</v>
      </c>
      <c r="I4" s="21"/>
    </row>
    <row r="5" spans="1:9">
      <c r="A5" s="24" t="s">
        <v>194</v>
      </c>
      <c r="B5" s="25" t="s">
        <v>131</v>
      </c>
      <c r="C5" s="26" t="s">
        <v>167</v>
      </c>
      <c r="D5" s="26" t="s">
        <v>168</v>
      </c>
      <c r="E5" s="28" t="s">
        <v>195</v>
      </c>
      <c r="F5" s="26" t="s">
        <v>165</v>
      </c>
      <c r="G5" s="27"/>
      <c r="H5" s="27" t="s">
        <v>193</v>
      </c>
      <c r="I5" s="21"/>
    </row>
    <row r="6" ht="26" spans="1:9">
      <c r="A6" s="24" t="s">
        <v>196</v>
      </c>
      <c r="B6" s="24" t="s">
        <v>153</v>
      </c>
      <c r="C6" s="29" t="s">
        <v>197</v>
      </c>
      <c r="D6" s="29" t="s">
        <v>198</v>
      </c>
      <c r="E6" s="30" t="s">
        <v>199</v>
      </c>
      <c r="F6" s="29" t="s">
        <v>200</v>
      </c>
      <c r="G6" s="29" t="s">
        <v>201</v>
      </c>
      <c r="H6" s="29"/>
      <c r="I6" s="21"/>
    </row>
  </sheetData>
  <dataValidations count="1">
    <dataValidation type="list" allowBlank="1" showErrorMessage="1" sqref="I2:I6">
      <formula1>"T,T+1Q,T+2Q,T+3Q,T+4Q,NS,NA"</formula1>
    </dataValidation>
  </dataValidations>
  <pageMargins left="0.747916666666667" right="0.747916666666667" top="0.984027777777778" bottom="0.984027777777778" header="0.511805555555556" footer="0.511805555555556"/>
  <pageSetup paperSize="9" orientation="portrait"/>
  <headerFooter alignWithMargins="0">
    <oddHeader>&amp;L&amp;"Times New Roman,加粗"&amp;G&amp;R秘密▲</oddHeader>
    <oddFooter>&amp;L&amp;10&lt;以上所有信息均为中兴通讯股份有限公司所有，不得外传&gt;&amp;R&amp;10共 &amp;N 页 , 第 &amp;P 页</oddFooter>
  </headerFooter>
  <legacyDrawingHF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00FF"/>
  </sheetPr>
  <dimension ref="A1:I6"/>
  <sheetViews>
    <sheetView tabSelected="1" workbookViewId="0">
      <selection activeCell="I6" sqref="I6"/>
    </sheetView>
  </sheetViews>
  <sheetFormatPr defaultColWidth="9" defaultRowHeight="15" outlineLevelRow="5"/>
  <cols>
    <col min="1" max="1" width="7.91666666666667" style="7" customWidth="1"/>
    <col min="2" max="2" width="6.08333333333333" style="7" customWidth="1"/>
    <col min="3" max="3" width="15.5833333333333" style="7" customWidth="1"/>
    <col min="4" max="4" width="14.5" style="7" customWidth="1"/>
    <col min="5" max="5" width="33.0833333333333" style="7" customWidth="1"/>
    <col min="6" max="6" width="9.16666666666667" style="7" customWidth="1"/>
    <col min="7" max="7" width="4.33333333333333" style="7" customWidth="1"/>
    <col min="8" max="8" width="19.4166666666667" style="7" customWidth="1"/>
    <col min="9" max="9" width="13" style="7" customWidth="1"/>
    <col min="10" max="16384" width="9" style="7"/>
  </cols>
  <sheetData>
    <row r="1" spans="1:9">
      <c r="A1" s="8" t="s">
        <v>121</v>
      </c>
      <c r="B1" s="9" t="s">
        <v>122</v>
      </c>
      <c r="C1" s="9" t="s">
        <v>123</v>
      </c>
      <c r="D1" s="9" t="s">
        <v>124</v>
      </c>
      <c r="E1" s="9" t="s">
        <v>125</v>
      </c>
      <c r="F1" s="10" t="s">
        <v>126</v>
      </c>
      <c r="G1" s="9" t="s">
        <v>127</v>
      </c>
      <c r="H1" s="9" t="s">
        <v>128</v>
      </c>
      <c r="I1" s="20" t="s">
        <v>129</v>
      </c>
    </row>
    <row r="2" spans="1:9">
      <c r="A2" s="11" t="s">
        <v>202</v>
      </c>
      <c r="B2" s="12" t="s">
        <v>131</v>
      </c>
      <c r="C2" s="13" t="s">
        <v>132</v>
      </c>
      <c r="D2" s="13" t="s">
        <v>133</v>
      </c>
      <c r="E2" s="13" t="s">
        <v>171</v>
      </c>
      <c r="F2" s="13" t="s">
        <v>135</v>
      </c>
      <c r="G2" s="12" t="s">
        <v>203</v>
      </c>
      <c r="H2" s="14"/>
      <c r="I2" s="21"/>
    </row>
    <row r="3" ht="26" spans="1:9">
      <c r="A3" s="11" t="s">
        <v>204</v>
      </c>
      <c r="B3" s="12" t="s">
        <v>131</v>
      </c>
      <c r="C3" s="13" t="s">
        <v>138</v>
      </c>
      <c r="D3" s="13" t="s">
        <v>139</v>
      </c>
      <c r="E3" s="13" t="s">
        <v>205</v>
      </c>
      <c r="F3" s="13" t="s">
        <v>135</v>
      </c>
      <c r="G3" s="12" t="s">
        <v>203</v>
      </c>
      <c r="H3" s="15"/>
      <c r="I3" s="21"/>
    </row>
    <row r="4" ht="39" spans="1:9">
      <c r="A4" s="11" t="s">
        <v>206</v>
      </c>
      <c r="B4" s="12" t="s">
        <v>131</v>
      </c>
      <c r="C4" s="13" t="s">
        <v>207</v>
      </c>
      <c r="D4" s="16" t="s">
        <v>208</v>
      </c>
      <c r="E4" s="17" t="s">
        <v>209</v>
      </c>
      <c r="F4" s="13" t="s">
        <v>210</v>
      </c>
      <c r="G4" s="12" t="s">
        <v>203</v>
      </c>
      <c r="H4" s="14" t="s">
        <v>211</v>
      </c>
      <c r="I4" s="21"/>
    </row>
    <row r="5" ht="39" spans="1:9">
      <c r="A5" s="11" t="s">
        <v>212</v>
      </c>
      <c r="B5" s="12" t="s">
        <v>131</v>
      </c>
      <c r="C5" s="18" t="s">
        <v>213</v>
      </c>
      <c r="D5" s="13" t="s">
        <v>214</v>
      </c>
      <c r="E5" s="13" t="s">
        <v>215</v>
      </c>
      <c r="F5" s="13" t="s">
        <v>151</v>
      </c>
      <c r="G5" s="11" t="s">
        <v>203</v>
      </c>
      <c r="H5" s="19"/>
      <c r="I5" s="21"/>
    </row>
    <row r="6" ht="39" spans="1:9">
      <c r="A6" s="11" t="s">
        <v>216</v>
      </c>
      <c r="B6" s="12" t="s">
        <v>131</v>
      </c>
      <c r="C6" s="18" t="s">
        <v>217</v>
      </c>
      <c r="D6" s="13" t="s">
        <v>218</v>
      </c>
      <c r="E6" s="13" t="s">
        <v>219</v>
      </c>
      <c r="F6" s="13" t="s">
        <v>151</v>
      </c>
      <c r="G6" s="11" t="s">
        <v>203</v>
      </c>
      <c r="H6" s="19"/>
      <c r="I6" s="21"/>
    </row>
  </sheetData>
  <dataValidations count="1">
    <dataValidation type="list" allowBlank="1" showErrorMessage="1" sqref="I2:I6">
      <formula1>"T,T+1Q,T+2Q,T+3Q,T+4Q,NS,NA"</formula1>
    </dataValidation>
  </dataValidations>
  <pageMargins left="0.747916666666667" right="0.747916666666667" top="0.984027777777778" bottom="0.984027777777778" header="0.511805555555556" footer="0.511805555555556"/>
  <pageSetup paperSize="9" orientation="portrait"/>
  <headerFooter alignWithMargins="0">
    <oddHeader>&amp;L&amp;"Times New Roman,加粗"&amp;G&amp;R秘密▲</oddHeader>
    <oddFooter>&amp;L&amp;10&lt;以上所有信息均为中兴通讯股份有限公司所有，不得外传&gt;&amp;R&amp;10共 &amp;N 页 , 第 &amp;P 页</oddFooter>
  </headerFooter>
  <legacyDrawingHF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M45" sqref="M45"/>
    </sheetView>
  </sheetViews>
  <sheetFormatPr defaultColWidth="8.83333333333333" defaultRowHeight="13"/>
  <cols>
    <col min="1" max="16384" width="8.83333333333333" style="6" collapsed="1"/>
  </cols>
  <sheetData>
    <row r="1" spans="1:1">
      <c r="A1" s="6" t="s">
        <v>220</v>
      </c>
    </row>
    <row r="23" spans="1:1">
      <c r="A23" s="6" t="s">
        <v>221</v>
      </c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workbookViewId="0">
      <selection activeCell="F23" sqref="F23"/>
    </sheetView>
  </sheetViews>
  <sheetFormatPr defaultColWidth="9" defaultRowHeight="15" outlineLevelCol="3"/>
  <cols>
    <col min="1" max="2" width="6.33333333333333" customWidth="1" collapsed="1"/>
    <col min="3" max="3" width="11.1666666666667" customWidth="1" collapsed="1"/>
    <col min="4" max="4" width="33.5833333333333" customWidth="1" collapsed="1"/>
  </cols>
  <sheetData>
    <row r="1" spans="1:4">
      <c r="A1" s="1" t="s">
        <v>222</v>
      </c>
      <c r="B1" s="1"/>
      <c r="C1" s="1"/>
      <c r="D1" s="1"/>
    </row>
    <row r="2" spans="1:4">
      <c r="A2" s="2" t="s">
        <v>223</v>
      </c>
      <c r="B2" s="2" t="s">
        <v>224</v>
      </c>
      <c r="C2" s="3" t="s">
        <v>225</v>
      </c>
      <c r="D2" s="2" t="s">
        <v>226</v>
      </c>
    </row>
    <row r="3" spans="1:4">
      <c r="A3" s="2" t="s">
        <v>227</v>
      </c>
      <c r="B3" s="2" t="s">
        <v>228</v>
      </c>
      <c r="C3" s="4">
        <v>13910834683</v>
      </c>
      <c r="D3" s="2" t="s">
        <v>229</v>
      </c>
    </row>
    <row r="4" spans="1:4">
      <c r="A4" s="2" t="s">
        <v>230</v>
      </c>
      <c r="B4" s="2" t="s">
        <v>228</v>
      </c>
      <c r="C4" s="4">
        <v>13910785072</v>
      </c>
      <c r="D4" s="2" t="s">
        <v>231</v>
      </c>
    </row>
    <row r="5" spans="1:4">
      <c r="A5" s="2" t="s">
        <v>232</v>
      </c>
      <c r="B5" s="2" t="s">
        <v>228</v>
      </c>
      <c r="C5" s="5">
        <v>13601368683</v>
      </c>
      <c r="D5" s="2" t="s">
        <v>233</v>
      </c>
    </row>
    <row r="6" spans="1:4">
      <c r="A6" s="2" t="s">
        <v>234</v>
      </c>
      <c r="B6" s="2" t="s">
        <v>228</v>
      </c>
      <c r="C6" s="4">
        <v>13501109642</v>
      </c>
      <c r="D6" s="2" t="s">
        <v>235</v>
      </c>
    </row>
    <row r="7" spans="1:4">
      <c r="A7" s="2" t="s">
        <v>236</v>
      </c>
      <c r="B7" s="2" t="s">
        <v>228</v>
      </c>
      <c r="C7" s="4">
        <v>13636426617</v>
      </c>
      <c r="D7" s="2" t="s">
        <v>237</v>
      </c>
    </row>
    <row r="8" spans="1:4">
      <c r="A8" s="2" t="s">
        <v>238</v>
      </c>
      <c r="B8" s="2" t="s">
        <v>228</v>
      </c>
      <c r="C8" s="4">
        <v>13910084851</v>
      </c>
      <c r="D8" s="2" t="s">
        <v>239</v>
      </c>
    </row>
    <row r="9" spans="1:4">
      <c r="A9" s="2" t="s">
        <v>240</v>
      </c>
      <c r="B9" s="2" t="s">
        <v>228</v>
      </c>
      <c r="C9" s="4">
        <v>13911554821</v>
      </c>
      <c r="D9" s="2" t="s">
        <v>241</v>
      </c>
    </row>
    <row r="10" spans="1:4">
      <c r="A10" s="2" t="s">
        <v>242</v>
      </c>
      <c r="B10" s="2" t="s">
        <v>228</v>
      </c>
      <c r="C10" s="4">
        <v>13910532301</v>
      </c>
      <c r="D10" s="2" t="s">
        <v>243</v>
      </c>
    </row>
    <row r="11" spans="1:4">
      <c r="A11" s="2" t="s">
        <v>244</v>
      </c>
      <c r="B11" s="2" t="s">
        <v>245</v>
      </c>
      <c r="C11" s="4">
        <v>15191850585</v>
      </c>
      <c r="D11" s="2" t="s">
        <v>246</v>
      </c>
    </row>
    <row r="12" spans="1:4">
      <c r="A12" s="2" t="s">
        <v>247</v>
      </c>
      <c r="B12" s="2" t="s">
        <v>245</v>
      </c>
      <c r="C12" s="4">
        <v>18918325595</v>
      </c>
      <c r="D12" s="2" t="s">
        <v>248</v>
      </c>
    </row>
    <row r="13" spans="1:4">
      <c r="A13" s="2" t="s">
        <v>249</v>
      </c>
      <c r="B13" s="2" t="s">
        <v>245</v>
      </c>
      <c r="C13" s="4">
        <v>18500522566</v>
      </c>
      <c r="D13" s="2" t="s">
        <v>250</v>
      </c>
    </row>
    <row r="14" spans="1:4">
      <c r="A14" s="2" t="s">
        <v>251</v>
      </c>
      <c r="B14" s="2" t="s">
        <v>245</v>
      </c>
      <c r="C14" s="4">
        <v>18616850658</v>
      </c>
      <c r="D14" s="2" t="s">
        <v>252</v>
      </c>
    </row>
    <row r="15" spans="1:4">
      <c r="A15" s="2" t="s">
        <v>253</v>
      </c>
      <c r="B15" s="2" t="s">
        <v>245</v>
      </c>
      <c r="C15" s="4">
        <v>18988758326</v>
      </c>
      <c r="D15" s="2" t="s">
        <v>254</v>
      </c>
    </row>
    <row r="16" spans="1:4">
      <c r="A16" s="2" t="s">
        <v>255</v>
      </c>
      <c r="B16" s="2" t="s">
        <v>256</v>
      </c>
      <c r="C16" s="4">
        <v>13801373694</v>
      </c>
      <c r="D16" s="2" t="s">
        <v>257</v>
      </c>
    </row>
    <row r="17" spans="1:4">
      <c r="A17" s="2" t="s">
        <v>258</v>
      </c>
      <c r="B17" s="2" t="s">
        <v>256</v>
      </c>
      <c r="C17" s="4">
        <v>13910533604</v>
      </c>
      <c r="D17" s="2" t="s">
        <v>259</v>
      </c>
    </row>
    <row r="18" spans="1:4">
      <c r="A18" s="2" t="s">
        <v>260</v>
      </c>
      <c r="B18" s="2" t="s">
        <v>256</v>
      </c>
      <c r="C18" s="4">
        <v>13801098392</v>
      </c>
      <c r="D18" s="2" t="s">
        <v>261</v>
      </c>
    </row>
    <row r="19" spans="1:4">
      <c r="A19" s="2" t="s">
        <v>262</v>
      </c>
      <c r="B19" s="2" t="s">
        <v>256</v>
      </c>
      <c r="C19" s="4">
        <v>18612773262</v>
      </c>
      <c r="D19" s="2" t="s">
        <v>263</v>
      </c>
    </row>
    <row r="20" spans="1:4">
      <c r="A20" s="2" t="s">
        <v>264</v>
      </c>
      <c r="B20" s="2" t="s">
        <v>256</v>
      </c>
      <c r="C20" s="4">
        <v>13910552512</v>
      </c>
      <c r="D20" s="2" t="s">
        <v>265</v>
      </c>
    </row>
    <row r="21" spans="1:4">
      <c r="A21" s="2" t="s">
        <v>9</v>
      </c>
      <c r="B21" s="2" t="s">
        <v>266</v>
      </c>
      <c r="C21" s="4">
        <v>13426150224</v>
      </c>
      <c r="D21" s="2" t="s">
        <v>267</v>
      </c>
    </row>
    <row r="22" spans="1:4">
      <c r="A22" s="2" t="s">
        <v>268</v>
      </c>
      <c r="B22" s="2" t="s">
        <v>269</v>
      </c>
      <c r="C22" s="4">
        <v>18061848868</v>
      </c>
      <c r="D22" s="2" t="s">
        <v>270</v>
      </c>
    </row>
    <row r="23" spans="1:4">
      <c r="A23" s="2" t="s">
        <v>271</v>
      </c>
      <c r="B23" s="2" t="s">
        <v>269</v>
      </c>
      <c r="C23" s="4">
        <v>13813860828</v>
      </c>
      <c r="D23" s="2" t="s">
        <v>272</v>
      </c>
    </row>
    <row r="24" spans="1:4">
      <c r="A24" s="2" t="s">
        <v>273</v>
      </c>
      <c r="B24" s="2" t="s">
        <v>269</v>
      </c>
      <c r="C24" s="4">
        <v>18652003056</v>
      </c>
      <c r="D24" s="2" t="s">
        <v>274</v>
      </c>
    </row>
    <row r="25" spans="1:4">
      <c r="A25" s="2" t="s">
        <v>275</v>
      </c>
      <c r="B25" s="2" t="s">
        <v>269</v>
      </c>
      <c r="C25" s="4">
        <v>13910211357</v>
      </c>
      <c r="D25" s="2" t="s">
        <v>276</v>
      </c>
    </row>
    <row r="26" spans="1:4">
      <c r="A26" s="2" t="s">
        <v>277</v>
      </c>
      <c r="B26" s="2" t="s">
        <v>269</v>
      </c>
      <c r="C26" s="4">
        <v>18651685063</v>
      </c>
      <c r="D26" s="2" t="s">
        <v>278</v>
      </c>
    </row>
    <row r="27" spans="1:4">
      <c r="A27" s="2" t="s">
        <v>279</v>
      </c>
      <c r="B27" s="2" t="s">
        <v>269</v>
      </c>
      <c r="C27" s="4">
        <v>13913009098</v>
      </c>
      <c r="D27" s="2" t="s">
        <v>280</v>
      </c>
    </row>
    <row r="28" spans="1:4">
      <c r="A28" s="2" t="s">
        <v>281</v>
      </c>
      <c r="B28" s="2" t="s">
        <v>269</v>
      </c>
      <c r="C28" s="4">
        <v>15195995119</v>
      </c>
      <c r="D28" s="2" t="s">
        <v>282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修订历史</vt:lpstr>
      <vt:lpstr>应答统计</vt:lpstr>
      <vt:lpstr>Index</vt:lpstr>
      <vt:lpstr>AA</vt:lpstr>
      <vt:lpstr>AB</vt:lpstr>
      <vt:lpstr>AC</vt:lpstr>
      <vt:lpstr>AD</vt:lpstr>
      <vt:lpstr>附录1</vt:lpstr>
      <vt:lpstr>附录2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HYX</dc:creator>
  <cp:lastModifiedBy>Cludy</cp:lastModifiedBy>
  <dcterms:created xsi:type="dcterms:W3CDTF">1996-12-17T01:32:00Z</dcterms:created>
  <cp:lastPrinted>2004-12-06T02:44:00Z</cp:lastPrinted>
  <dcterms:modified xsi:type="dcterms:W3CDTF">2022-09-26T08:26:44Z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_2015_ms_pID_725343">
    <vt:lpwstr>(3)YpUnr6Myh4S/qkzqgShzuWvy95D6IHZL4qFMQJ18UlHBJlgoVzp+1BOOX76QcjhGTfAGRzXN
zfkkWcrtNd2FbKkxVIzMWAG9+/mFJHWHjRwa5KSApIimTnZ3YTkZ9dE7NvbYqEWCrjv7PBrP
QQD6KEy/qhzas1Z4y3JmFJjVgHIybW7EhqJzGbtBnIt7sEFHfZjSOd70OnzQT+lJlgQxXAU2
BIzkQyVdgHzmWpLoHb</vt:lpwstr>
  </property>
  <property fmtid="{D5CDD505-2E9C-101B-9397-08002B2CF9AE}" pid="4" name="_2015_ms_pID_7253431">
    <vt:lpwstr>ukTqXp5UDZfbOJAWAR/csjPYFOY7aZDcY5QQQIrPT998R/RBffX2bB
R0BSoyErHYptokE8UBe6U/lRl2CJ2lu6hkS3ueuiGT6pbSsvtR9tJoIw/vI/T6LH351uMHib
GGU55kV9HgnvUvvuj4up0x9stOahFNTt4nJ6UN5/NcG+usH12M6Y6WftbHDaBLgmhJO/i2QZ
DVB2PAWrOv2wf677JnfofG5dKESSB6DA1Ug6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1608630187</vt:lpwstr>
  </property>
  <property fmtid="{D5CDD505-2E9C-101B-9397-08002B2CF9AE}" pid="9" name="ICV">
    <vt:lpwstr>F87B4F8BEEE64C568114C9276FB4F92D</vt:lpwstr>
  </property>
  <property fmtid="{D5CDD505-2E9C-101B-9397-08002B2CF9AE}" pid="10" name="_2015_ms_pID_7253432">
    <vt:lpwstr>dg==</vt:lpwstr>
  </property>
</Properties>
</file>